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autoCompressPictures="0" defaultThemeVersion="124226"/>
  <mc:AlternateContent xmlns:mc="http://schemas.openxmlformats.org/markup-compatibility/2006">
    <mc:Choice Requires="x15">
      <x15ac:absPath xmlns:x15ac="http://schemas.microsoft.com/office/spreadsheetml/2010/11/ac" url="D:\Enrique\Download\"/>
    </mc:Choice>
  </mc:AlternateContent>
  <xr:revisionPtr revIDLastSave="0" documentId="13_ncr:1_{B8143FD4-C6DC-438A-BD89-6E19F0EB9671}" xr6:coauthVersionLast="47" xr6:coauthVersionMax="47" xr10:uidLastSave="{00000000-0000-0000-0000-000000000000}"/>
  <workbookProtection workbookAlgorithmName="SHA-512" workbookHashValue="pBCBBlK7AQoYwKPXGi/Ma4e8napS2qiBZg30hxc+vPK9fK/imWRxejTCgg2ir/ZDIC/SnJJ2MBlJONnMubScgw==" workbookSaltValue="VC4WQwf8wJnhKzUtzx6n1w==" workbookSpinCount="100000" lockStructure="1"/>
  <bookViews>
    <workbookView xWindow="-108" yWindow="-108" windowWidth="23256" windowHeight="12576" tabRatio="749" activeTab="1" xr2:uid="{00000000-000D-0000-FFFF-FFFF00000000}"/>
  </bookViews>
  <sheets>
    <sheet name="Home" sheetId="30" r:id="rId1"/>
    <sheet name="COPA AMERICA" sheetId="3" r:id="rId2"/>
    <sheet name="Quiniela" sheetId="31" r:id="rId3"/>
    <sheet name="Fixture" sheetId="35" r:id="rId4"/>
    <sheet name="Equipos" sheetId="6" state="veryHidden" r:id="rId5"/>
    <sheet name="Horarios" sheetId="32" state="veryHidden" r:id="rId6"/>
    <sheet name="Idiomas" sheetId="36" state="veryHidden" r:id="rId7"/>
    <sheet name="Credits" sheetId="34" r:id="rId8"/>
  </sheets>
  <definedNames>
    <definedName name="_xlnm._FilterDatabase" localSheetId="1" hidden="1">'COPA AMERICA'!$CA$34:$CGP$55</definedName>
    <definedName name="_xlnm._FilterDatabase" localSheetId="5" hidden="1">Horarios!$Q$2:$Q$57</definedName>
    <definedName name="·······">Equipos!$A$2:$D$17</definedName>
    <definedName name="Nivell">Equipos!$C$2:$C$17</definedName>
    <definedName name="NombreEquipo">Equipos!$B$2:$B$17</definedName>
    <definedName name="OK">Equipos!$A$2:$A$17</definedName>
    <definedName name="Rank">Equipos!$D$2:$D$17</definedName>
  </definedNames>
  <calcPr calcId="191029" concurrentCalc="0"/>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4" i="36" l="1"/>
  <c r="B3" i="36"/>
  <c r="CX3" i="3"/>
  <c r="CY3" i="3"/>
  <c r="CZ3" i="3"/>
  <c r="DA3" i="3"/>
  <c r="DB3" i="3"/>
  <c r="DC3" i="3"/>
  <c r="DD3" i="3"/>
  <c r="DE3" i="3"/>
  <c r="DQ9" i="3"/>
  <c r="DP9" i="3"/>
  <c r="DO9" i="3"/>
  <c r="DN9" i="3"/>
  <c r="DI9" i="3"/>
  <c r="DJ9" i="3"/>
  <c r="DK9" i="3"/>
  <c r="DL9" i="3"/>
  <c r="DM9" i="3"/>
  <c r="DH9" i="3"/>
  <c r="B2" i="36"/>
  <c r="D96" i="36"/>
  <c r="B75" i="31"/>
  <c r="C28" i="3"/>
  <c r="C4" i="3"/>
  <c r="C12" i="3"/>
  <c r="C20" i="3"/>
  <c r="AW9" i="3"/>
  <c r="AW8" i="3"/>
  <c r="AK16" i="35"/>
  <c r="AJ16" i="35"/>
  <c r="AJ15" i="35"/>
  <c r="AJ13" i="35"/>
  <c r="AK13" i="35"/>
  <c r="AJ14" i="35"/>
  <c r="AK14" i="35"/>
  <c r="AK15" i="35"/>
  <c r="AK12" i="35"/>
  <c r="AJ12" i="35"/>
  <c r="X6" i="35"/>
  <c r="W6" i="35"/>
  <c r="X5" i="35"/>
  <c r="W5" i="35"/>
  <c r="O4" i="3"/>
  <c r="O5" i="3"/>
  <c r="O6" i="3"/>
  <c r="O7" i="3"/>
  <c r="O8" i="3"/>
  <c r="O9" i="3"/>
  <c r="O12" i="3"/>
  <c r="O13" i="3"/>
  <c r="O14" i="3"/>
  <c r="O15" i="3"/>
  <c r="O16" i="3"/>
  <c r="O17" i="3"/>
  <c r="O20" i="3"/>
  <c r="O21" i="3"/>
  <c r="O22" i="3"/>
  <c r="O23" i="3"/>
  <c r="O24" i="3"/>
  <c r="O25" i="3"/>
  <c r="O28" i="3"/>
  <c r="O29" i="3"/>
  <c r="O30" i="3"/>
  <c r="O31" i="3"/>
  <c r="O32" i="3"/>
  <c r="O33" i="3"/>
  <c r="AO11" i="35"/>
  <c r="AO3" i="35"/>
  <c r="I11" i="35"/>
  <c r="X10" i="35"/>
  <c r="W10" i="35"/>
  <c r="X9" i="35"/>
  <c r="W9" i="35"/>
  <c r="AA10" i="35"/>
  <c r="Z10" i="35"/>
  <c r="AA9" i="35"/>
  <c r="Z9" i="35"/>
  <c r="T10" i="35"/>
  <c r="S10" i="35"/>
  <c r="T9" i="35"/>
  <c r="S9" i="35"/>
  <c r="AE6" i="35"/>
  <c r="AD15" i="35"/>
  <c r="AE5" i="35"/>
  <c r="AD14" i="35"/>
  <c r="AE15" i="35"/>
  <c r="AD6" i="35"/>
  <c r="AE14" i="35"/>
  <c r="AD5" i="35"/>
  <c r="P14" i="35"/>
  <c r="O14" i="35"/>
  <c r="P13" i="35"/>
  <c r="O13" i="35"/>
  <c r="P6" i="35"/>
  <c r="O6" i="35"/>
  <c r="P5" i="35"/>
  <c r="O5" i="35"/>
  <c r="AK11" i="35"/>
  <c r="AJ11" i="35"/>
  <c r="AK8" i="35"/>
  <c r="AJ8" i="35"/>
  <c r="AK7" i="35"/>
  <c r="AJ7" i="35"/>
  <c r="AK6" i="35"/>
  <c r="AJ6" i="35"/>
  <c r="AK5" i="35"/>
  <c r="AJ5" i="35"/>
  <c r="AK4" i="35"/>
  <c r="AJ4" i="35"/>
  <c r="AK3" i="35"/>
  <c r="AJ3" i="35"/>
  <c r="E16" i="35"/>
  <c r="D16" i="35"/>
  <c r="E15" i="35"/>
  <c r="D15" i="35"/>
  <c r="E14" i="35"/>
  <c r="D14" i="35"/>
  <c r="E13" i="35"/>
  <c r="D13" i="35"/>
  <c r="E12" i="35"/>
  <c r="D12" i="35"/>
  <c r="E11" i="35"/>
  <c r="D11" i="35"/>
  <c r="E8" i="35"/>
  <c r="D8" i="35"/>
  <c r="E7" i="35"/>
  <c r="D7" i="35"/>
  <c r="E6" i="35"/>
  <c r="D6" i="35"/>
  <c r="E5" i="35"/>
  <c r="D5" i="35"/>
  <c r="E4" i="35"/>
  <c r="D4" i="35"/>
  <c r="E3" i="35"/>
  <c r="D3" i="35"/>
  <c r="AGV62" i="30" a="1"/>
  <c r="AGV62" i="30"/>
  <c r="AGU62" i="30" a="1"/>
  <c r="AGU62" i="30"/>
  <c r="AGC62" i="30" a="1"/>
  <c r="AGC62" i="30"/>
  <c r="AGC61" i="30" a="1"/>
  <c r="AGC61" i="30"/>
  <c r="AGC60" i="30" a="1"/>
  <c r="AGC60" i="30"/>
  <c r="AGC59" i="30" a="1"/>
  <c r="AGC59" i="30"/>
  <c r="AGC58" i="30" a="1"/>
  <c r="AGC58" i="30"/>
  <c r="AGC57" i="30" a="1"/>
  <c r="AGC57" i="30"/>
  <c r="AGB62" i="30" a="1"/>
  <c r="AGB62" i="30"/>
  <c r="AGB61" i="30" a="1"/>
  <c r="AGB61" i="30"/>
  <c r="AGB60" i="30" a="1"/>
  <c r="AGB60" i="30"/>
  <c r="AGB59" i="30" a="1"/>
  <c r="AGB59" i="30"/>
  <c r="AGB58" i="30" a="1"/>
  <c r="AGB58" i="30"/>
  <c r="AGB57" i="30" a="1"/>
  <c r="AGB57" i="30"/>
  <c r="AGA57" i="30" a="1"/>
  <c r="AGA57" i="30"/>
  <c r="AGA58" i="30" a="1"/>
  <c r="AGA58" i="30"/>
  <c r="AGA59" i="30" a="1"/>
  <c r="AGA59" i="30"/>
  <c r="AGA60" i="30" a="1"/>
  <c r="AGA60" i="30"/>
  <c r="AGA61" i="30" a="1"/>
  <c r="AGA61" i="30"/>
  <c r="AGA62" i="30" a="1"/>
  <c r="AGA62" i="30"/>
  <c r="AFX60" i="30" a="1"/>
  <c r="AFX60" i="30"/>
  <c r="AFX61" i="30" a="1"/>
  <c r="AFX61" i="30"/>
  <c r="AFX62" i="30" a="1"/>
  <c r="AFX62" i="30"/>
  <c r="AFW62" i="30" a="1"/>
  <c r="AFW62" i="30"/>
  <c r="AFW61" i="30" a="1"/>
  <c r="AFW61" i="30"/>
  <c r="AFW60" i="30" a="1"/>
  <c r="AFW60" i="30"/>
  <c r="JW62" i="30" a="1"/>
  <c r="JW62" i="30"/>
  <c r="JW61" i="30" a="1"/>
  <c r="JW61" i="30"/>
  <c r="JW60" i="30" a="1"/>
  <c r="JW60" i="30"/>
  <c r="JW59" i="30" a="1"/>
  <c r="JW59" i="30"/>
  <c r="C13" i="31"/>
  <c r="C20" i="31"/>
  <c r="C21" i="31"/>
  <c r="C28" i="31"/>
  <c r="C29" i="31"/>
  <c r="C12" i="31"/>
  <c r="C11" i="31"/>
  <c r="C18" i="31"/>
  <c r="C19" i="31"/>
  <c r="C26" i="31"/>
  <c r="C27" i="31"/>
  <c r="C10" i="31"/>
  <c r="C9" i="31"/>
  <c r="C16" i="31"/>
  <c r="C17" i="31"/>
  <c r="C24" i="31"/>
  <c r="C25" i="31"/>
  <c r="C8" i="31"/>
  <c r="C7" i="31"/>
  <c r="C14" i="31"/>
  <c r="C15" i="31"/>
  <c r="C22" i="31"/>
  <c r="C23" i="31"/>
  <c r="C6" i="31"/>
  <c r="F11" i="36" a="1"/>
  <c r="D163" i="36"/>
  <c r="D60" i="36"/>
  <c r="E30" i="34"/>
  <c r="D59" i="36"/>
  <c r="E25" i="34"/>
  <c r="D161" i="36"/>
  <c r="S9" i="30"/>
  <c r="D162" i="36"/>
  <c r="D160" i="36"/>
  <c r="D58" i="36"/>
  <c r="B20" i="34"/>
  <c r="AW6" i="3"/>
  <c r="AW5" i="3"/>
  <c r="AW4" i="3"/>
  <c r="AW3" i="3"/>
  <c r="AW7" i="3"/>
  <c r="D119" i="36"/>
  <c r="D44" i="36"/>
  <c r="Q5" i="3"/>
  <c r="Q13" i="3"/>
  <c r="D153" i="36"/>
  <c r="H9" i="6"/>
  <c r="D139" i="36"/>
  <c r="H2" i="6"/>
  <c r="D19" i="36"/>
  <c r="Q3" i="3"/>
  <c r="Q12" i="3"/>
  <c r="AH12" i="3"/>
  <c r="D91" i="36"/>
  <c r="D64" i="36"/>
  <c r="B2" i="34"/>
  <c r="D148" i="36"/>
  <c r="D129" i="36"/>
  <c r="B77" i="31"/>
  <c r="D115" i="36"/>
  <c r="B46" i="31"/>
  <c r="D103" i="36"/>
  <c r="D89" i="36"/>
  <c r="B31" i="31"/>
  <c r="D75" i="36"/>
  <c r="E6" i="31"/>
  <c r="D56" i="36"/>
  <c r="H8" i="3"/>
  <c r="D40" i="36"/>
  <c r="D24" i="36"/>
  <c r="R23" i="35"/>
  <c r="D147" i="36"/>
  <c r="D127" i="36"/>
  <c r="D114" i="36"/>
  <c r="B45" i="31"/>
  <c r="D100" i="36"/>
  <c r="B89" i="31"/>
  <c r="D88" i="36"/>
  <c r="D74" i="36"/>
  <c r="E5" i="31"/>
  <c r="D53" i="36"/>
  <c r="Z5" i="3"/>
  <c r="Z29" i="3"/>
  <c r="D37" i="36"/>
  <c r="D21" i="36"/>
  <c r="D106" i="36"/>
  <c r="B37" i="31"/>
  <c r="D80" i="36"/>
  <c r="D28" i="36"/>
  <c r="I55" i="3"/>
  <c r="D151" i="36"/>
  <c r="H6" i="6"/>
  <c r="D90" i="36"/>
  <c r="D43" i="36"/>
  <c r="S54" i="3"/>
  <c r="D146" i="36"/>
  <c r="D124" i="36"/>
  <c r="D113" i="36"/>
  <c r="B44" i="31"/>
  <c r="D99" i="36"/>
  <c r="B86" i="31"/>
  <c r="D86" i="36"/>
  <c r="D14" i="31"/>
  <c r="D73" i="36"/>
  <c r="E4" i="31"/>
  <c r="D52" i="36"/>
  <c r="Y5" i="3"/>
  <c r="Y29" i="3"/>
  <c r="D36" i="36"/>
  <c r="D20" i="36"/>
  <c r="AB3" i="3"/>
  <c r="D116" i="36"/>
  <c r="B47" i="31"/>
  <c r="D78" i="36"/>
  <c r="E58" i="31"/>
  <c r="D27" i="36"/>
  <c r="E51" i="3"/>
  <c r="D145" i="36"/>
  <c r="H16" i="6"/>
  <c r="D123" i="36"/>
  <c r="D111" i="36"/>
  <c r="D98" i="36"/>
  <c r="B83" i="31"/>
  <c r="D83" i="36"/>
  <c r="E84" i="31"/>
  <c r="D72" i="36"/>
  <c r="E3" i="31"/>
  <c r="D51" i="36"/>
  <c r="X5" i="3"/>
  <c r="X29" i="3"/>
  <c r="D35" i="36"/>
  <c r="D6" i="36"/>
  <c r="F7" i="30"/>
  <c r="D156" i="36"/>
  <c r="L2" i="32"/>
  <c r="I1" i="3"/>
  <c r="D143" i="36"/>
  <c r="H15" i="6"/>
  <c r="D122" i="36"/>
  <c r="D108" i="36"/>
  <c r="B39" i="31"/>
  <c r="D97" i="36"/>
  <c r="B79" i="31"/>
  <c r="D82" i="36"/>
  <c r="E72" i="31"/>
  <c r="D70" i="36"/>
  <c r="C4" i="31"/>
  <c r="D48" i="36"/>
  <c r="U5" i="3"/>
  <c r="U29" i="3"/>
  <c r="D32" i="36"/>
  <c r="E61" i="3"/>
  <c r="B93" i="31"/>
  <c r="D16" i="36"/>
  <c r="I3" i="3"/>
  <c r="D130" i="36"/>
  <c r="B80" i="31"/>
  <c r="B81" i="31"/>
  <c r="D105" i="36"/>
  <c r="B36" i="31"/>
  <c r="D63" i="36"/>
  <c r="B12" i="34"/>
  <c r="D154" i="36"/>
  <c r="D140" i="36"/>
  <c r="H13" i="6"/>
  <c r="D121" i="36"/>
  <c r="D107" i="36"/>
  <c r="B38" i="31"/>
  <c r="D94" i="36"/>
  <c r="B65" i="31"/>
  <c r="D81" i="36"/>
  <c r="E60" i="31"/>
  <c r="D67" i="36"/>
  <c r="C1" i="31"/>
  <c r="D45" i="36"/>
  <c r="R5" i="3"/>
  <c r="H3" i="35"/>
  <c r="D29" i="36"/>
  <c r="D13" i="36"/>
  <c r="F3" i="3"/>
  <c r="F19" i="3"/>
  <c r="D12" i="36"/>
  <c r="J1" i="3"/>
  <c r="D11" i="36"/>
  <c r="E1" i="3"/>
  <c r="D62" i="36"/>
  <c r="B11" i="34"/>
  <c r="D50" i="36"/>
  <c r="W5" i="3"/>
  <c r="W29" i="3"/>
  <c r="D42" i="36"/>
  <c r="R54" i="3"/>
  <c r="D34" i="36"/>
  <c r="E63" i="3"/>
  <c r="B95" i="31"/>
  <c r="D26" i="36"/>
  <c r="E47" i="3"/>
  <c r="D18" i="36"/>
  <c r="N3" i="3"/>
  <c r="D9" i="36"/>
  <c r="D152" i="36"/>
  <c r="D144" i="36"/>
  <c r="H7" i="6"/>
  <c r="D128" i="36"/>
  <c r="B76" i="31"/>
  <c r="D120" i="36"/>
  <c r="D112" i="36"/>
  <c r="B43" i="31"/>
  <c r="D104" i="36"/>
  <c r="B35" i="31"/>
  <c r="D95" i="36"/>
  <c r="B71" i="31"/>
  <c r="D87" i="36"/>
  <c r="D22" i="31"/>
  <c r="D79" i="36"/>
  <c r="E59" i="31"/>
  <c r="D71" i="36"/>
  <c r="E1" i="31"/>
  <c r="D61" i="36"/>
  <c r="B3" i="34"/>
  <c r="D49" i="36"/>
  <c r="V5" i="3"/>
  <c r="V21" i="3"/>
  <c r="D41" i="36"/>
  <c r="S53" i="3"/>
  <c r="D33" i="36"/>
  <c r="E62" i="3"/>
  <c r="B94" i="31"/>
  <c r="D25" i="36"/>
  <c r="D17" i="36"/>
  <c r="D8" i="36"/>
  <c r="D7" i="36"/>
  <c r="B7" i="30"/>
  <c r="D150" i="36"/>
  <c r="H5" i="6"/>
  <c r="D142" i="36"/>
  <c r="H4" i="6"/>
  <c r="D126" i="36"/>
  <c r="B50" i="31"/>
  <c r="B51" i="31"/>
  <c r="B52" i="31"/>
  <c r="B53" i="31"/>
  <c r="B54" i="31"/>
  <c r="B55" i="31"/>
  <c r="B56" i="31"/>
  <c r="B57" i="31"/>
  <c r="D118" i="36"/>
  <c r="D110" i="36"/>
  <c r="B41" i="31"/>
  <c r="D102" i="36"/>
  <c r="B33" i="31"/>
  <c r="D93" i="36"/>
  <c r="B59" i="31"/>
  <c r="D85" i="36"/>
  <c r="D6" i="31"/>
  <c r="D77" i="36"/>
  <c r="E22" i="31"/>
  <c r="D69" i="36"/>
  <c r="B3" i="31"/>
  <c r="D55" i="36"/>
  <c r="H6" i="3"/>
  <c r="D47" i="36"/>
  <c r="T5" i="3"/>
  <c r="T21" i="3"/>
  <c r="D39" i="36"/>
  <c r="I66" i="3"/>
  <c r="D31" i="36"/>
  <c r="D23" i="36"/>
  <c r="D15" i="36"/>
  <c r="H3" i="3"/>
  <c r="D4" i="36"/>
  <c r="D149" i="36"/>
  <c r="H10" i="6"/>
  <c r="D141" i="36"/>
  <c r="H14" i="6"/>
  <c r="D125" i="36"/>
  <c r="D117" i="36"/>
  <c r="D109" i="36"/>
  <c r="B40" i="31"/>
  <c r="D101" i="36"/>
  <c r="B32" i="31"/>
  <c r="D92" i="36"/>
  <c r="D84" i="36"/>
  <c r="E93" i="31"/>
  <c r="D76" i="36"/>
  <c r="E14" i="31"/>
  <c r="D68" i="36"/>
  <c r="B2" i="31"/>
  <c r="D54" i="36"/>
  <c r="H4" i="3"/>
  <c r="H29" i="3"/>
  <c r="D46" i="36"/>
  <c r="S5" i="3"/>
  <c r="D38" i="36"/>
  <c r="E66" i="3"/>
  <c r="D30" i="36"/>
  <c r="D22" i="36"/>
  <c r="D14" i="36"/>
  <c r="G3" i="3"/>
  <c r="D5" i="36"/>
  <c r="L5" i="30"/>
  <c r="B66" i="31"/>
  <c r="B67" i="31"/>
  <c r="B68" i="31"/>
  <c r="B69" i="31"/>
  <c r="B42" i="31"/>
  <c r="B34" i="31"/>
  <c r="R53" i="3"/>
  <c r="K2" i="6"/>
  <c r="AA3" i="32"/>
  <c r="Y21" i="3"/>
  <c r="F11" i="36"/>
  <c r="I61" i="3"/>
  <c r="V18" i="35"/>
  <c r="S8" i="30"/>
  <c r="J20" i="30"/>
  <c r="J19" i="30"/>
  <c r="I63" i="3"/>
  <c r="V20" i="35"/>
  <c r="I62" i="3"/>
  <c r="V19" i="35"/>
  <c r="K20" i="30"/>
  <c r="K19" i="30"/>
  <c r="G17" i="34"/>
  <c r="AD3" i="32"/>
  <c r="AD22" i="32"/>
  <c r="AD30" i="32"/>
  <c r="AD38" i="32"/>
  <c r="AD46" i="32"/>
  <c r="AD54" i="32"/>
  <c r="AD23" i="32"/>
  <c r="AD31" i="32"/>
  <c r="AD39" i="32"/>
  <c r="AD47" i="32"/>
  <c r="AD24" i="32"/>
  <c r="AD32" i="32"/>
  <c r="AD40" i="32"/>
  <c r="AD48" i="32"/>
  <c r="AD28" i="32"/>
  <c r="AD25" i="32"/>
  <c r="AD33" i="32"/>
  <c r="AD41" i="32"/>
  <c r="AD49" i="32"/>
  <c r="AD26" i="32"/>
  <c r="AD34" i="32"/>
  <c r="AD42" i="32"/>
  <c r="AD50" i="32"/>
  <c r="AD27" i="32"/>
  <c r="AD35" i="32"/>
  <c r="AD43" i="32"/>
  <c r="AD51" i="32"/>
  <c r="AD36" i="32"/>
  <c r="AD52" i="32"/>
  <c r="AD44" i="32"/>
  <c r="AD19" i="32"/>
  <c r="AD20" i="32"/>
  <c r="AD21" i="32"/>
  <c r="AD29" i="32"/>
  <c r="AD37" i="32"/>
  <c r="AD45" i="32"/>
  <c r="AD53" i="32"/>
  <c r="K3" i="6"/>
  <c r="I13" i="6"/>
  <c r="S6" i="30"/>
  <c r="C17" i="34"/>
  <c r="G20" i="30"/>
  <c r="S7" i="30"/>
  <c r="E56" i="3"/>
  <c r="B90" i="31"/>
  <c r="AH23" i="35"/>
  <c r="E35" i="3"/>
  <c r="E57" i="3"/>
  <c r="B91" i="31"/>
  <c r="AD23" i="35"/>
  <c r="B5" i="31"/>
  <c r="N23" i="35"/>
  <c r="E58" i="3"/>
  <c r="B92" i="31"/>
  <c r="Z23" i="35"/>
  <c r="E42" i="3"/>
  <c r="V23" i="35"/>
  <c r="I2" i="6"/>
  <c r="Q21" i="3"/>
  <c r="AA4" i="32"/>
  <c r="F11" i="3"/>
  <c r="F27" i="3"/>
  <c r="F43" i="3"/>
  <c r="F52" i="3"/>
  <c r="Q20" i="3"/>
  <c r="AY20" i="3"/>
  <c r="Q4" i="3"/>
  <c r="AH4" i="3"/>
  <c r="Q29" i="3"/>
  <c r="F48" i="3"/>
  <c r="P61" i="3"/>
  <c r="C93" i="31"/>
  <c r="P63" i="3"/>
  <c r="C95" i="31"/>
  <c r="C94" i="31"/>
  <c r="F36" i="3"/>
  <c r="K17" i="6"/>
  <c r="H12" i="6"/>
  <c r="AA11" i="32"/>
  <c r="AD11" i="32"/>
  <c r="H11" i="6"/>
  <c r="AA10" i="32"/>
  <c r="AD10" i="32"/>
  <c r="H3" i="6"/>
  <c r="K11" i="6"/>
  <c r="H8" i="6"/>
  <c r="H17" i="6"/>
  <c r="Y13" i="3"/>
  <c r="B5" i="6"/>
  <c r="M27" i="35"/>
  <c r="B4" i="6"/>
  <c r="M26" i="35"/>
  <c r="AA12" i="32"/>
  <c r="AD12" i="32"/>
  <c r="B13" i="6"/>
  <c r="M35" i="35"/>
  <c r="Q28" i="3"/>
  <c r="AY28" i="3"/>
  <c r="K10" i="6"/>
  <c r="AY12" i="3"/>
  <c r="AN11" i="35"/>
  <c r="AN3" i="35"/>
  <c r="R13" i="3"/>
  <c r="R21" i="3"/>
  <c r="X21" i="3"/>
  <c r="R29" i="3"/>
  <c r="AA18" i="32"/>
  <c r="AD18" i="32"/>
  <c r="X13" i="3"/>
  <c r="L3" i="35"/>
  <c r="L11" i="35"/>
  <c r="I48" i="3"/>
  <c r="I19" i="3"/>
  <c r="I43" i="3"/>
  <c r="I11" i="3"/>
  <c r="I27" i="3"/>
  <c r="H9" i="3"/>
  <c r="H33" i="3"/>
  <c r="S13" i="3"/>
  <c r="S21" i="3"/>
  <c r="Z21" i="3"/>
  <c r="P62" i="3"/>
  <c r="H11" i="35"/>
  <c r="K3" i="35"/>
  <c r="AQ3" i="35"/>
  <c r="Z13" i="3"/>
  <c r="K9" i="6"/>
  <c r="B6" i="6"/>
  <c r="M28" i="35"/>
  <c r="N11" i="3"/>
  <c r="N27" i="3"/>
  <c r="N52" i="3"/>
  <c r="N19" i="3"/>
  <c r="N36" i="3"/>
  <c r="N43" i="3"/>
  <c r="H15" i="3"/>
  <c r="H31" i="3"/>
  <c r="G52" i="3"/>
  <c r="G36" i="3"/>
  <c r="G43" i="3"/>
  <c r="H11" i="3"/>
  <c r="H27" i="3"/>
  <c r="H19" i="3"/>
  <c r="N48" i="3"/>
  <c r="H17" i="3"/>
  <c r="H5" i="3"/>
  <c r="J3" i="35"/>
  <c r="AP11" i="35"/>
  <c r="H20" i="3"/>
  <c r="AA9" i="32"/>
  <c r="AD9" i="32"/>
  <c r="K8" i="6"/>
  <c r="H28" i="3"/>
  <c r="AA5" i="32"/>
  <c r="K4" i="6"/>
  <c r="I14" i="6"/>
  <c r="AA8" i="32"/>
  <c r="AD8" i="32"/>
  <c r="K7" i="6"/>
  <c r="H13" i="3"/>
  <c r="V29" i="3"/>
  <c r="V13" i="3"/>
  <c r="AA14" i="32"/>
  <c r="AD14" i="32"/>
  <c r="K13" i="6"/>
  <c r="K15" i="6"/>
  <c r="AA16" i="32"/>
  <c r="AD16" i="32"/>
  <c r="S29" i="3"/>
  <c r="H24" i="3"/>
  <c r="U13" i="3"/>
  <c r="G48" i="3"/>
  <c r="G11" i="3"/>
  <c r="G27" i="3"/>
  <c r="G19" i="3"/>
  <c r="I52" i="3"/>
  <c r="I36" i="3"/>
  <c r="K3" i="3"/>
  <c r="L3" i="3"/>
  <c r="B49" i="31"/>
  <c r="AA17" i="32"/>
  <c r="AD17" i="32"/>
  <c r="K16" i="6"/>
  <c r="AA6" i="32"/>
  <c r="AD6" i="32"/>
  <c r="K5" i="6"/>
  <c r="K6" i="6"/>
  <c r="AA7" i="32"/>
  <c r="AD7" i="32"/>
  <c r="H25" i="3"/>
  <c r="H12" i="3"/>
  <c r="H30" i="3"/>
  <c r="U21" i="3"/>
  <c r="H16" i="3"/>
  <c r="H23" i="3"/>
  <c r="F11" i="30"/>
  <c r="L7" i="30"/>
  <c r="H14" i="3"/>
  <c r="H32" i="3"/>
  <c r="T13" i="3"/>
  <c r="H21" i="3"/>
  <c r="AA13" i="32"/>
  <c r="AD13" i="32"/>
  <c r="K12" i="6"/>
  <c r="K14" i="6"/>
  <c r="AA15" i="32"/>
  <c r="AD15" i="32"/>
  <c r="H7" i="3"/>
  <c r="T29" i="3"/>
  <c r="H22" i="3"/>
  <c r="C3" i="31"/>
  <c r="P66" i="3"/>
  <c r="W21" i="3"/>
  <c r="W13" i="3"/>
  <c r="A7" i="3" a="1"/>
  <c r="A24" i="3" a="1"/>
  <c r="A8" i="3" a="1"/>
  <c r="A13" i="3" a="1"/>
  <c r="T27" i="32"/>
  <c r="AD5" i="32"/>
  <c r="T38" i="32"/>
  <c r="AD4" i="32"/>
  <c r="T50" i="32"/>
  <c r="T19" i="32"/>
  <c r="S26" i="32"/>
  <c r="R41" i="32"/>
  <c r="R19" i="32"/>
  <c r="T20" i="32"/>
  <c r="S35" i="32"/>
  <c r="S53" i="32"/>
  <c r="R48" i="32"/>
  <c r="T47" i="32"/>
  <c r="R40" i="32"/>
  <c r="T23" i="32"/>
  <c r="R42" i="32"/>
  <c r="R38" i="32"/>
  <c r="R54" i="32"/>
  <c r="R39" i="32"/>
  <c r="T37" i="32"/>
  <c r="T26" i="32"/>
  <c r="S38" i="32"/>
  <c r="T36" i="32"/>
  <c r="T52" i="32"/>
  <c r="T32" i="32"/>
  <c r="T39" i="32"/>
  <c r="S45" i="32"/>
  <c r="R34" i="32"/>
  <c r="S52" i="32"/>
  <c r="R31" i="32"/>
  <c r="R52" i="32"/>
  <c r="T30" i="32"/>
  <c r="S54" i="32"/>
  <c r="R33" i="32"/>
  <c r="S51" i="32"/>
  <c r="R30" i="32"/>
  <c r="R51" i="32"/>
  <c r="T29" i="32"/>
  <c r="S39" i="32"/>
  <c r="R32" i="32"/>
  <c r="R35" i="32"/>
  <c r="R21" i="32"/>
  <c r="T54" i="32"/>
  <c r="T35" i="32"/>
  <c r="T34" i="32"/>
  <c r="S31" i="32"/>
  <c r="T49" i="32"/>
  <c r="S28" i="32"/>
  <c r="S49" i="32"/>
  <c r="R28" i="32"/>
  <c r="T51" i="32"/>
  <c r="S30" i="32"/>
  <c r="T48" i="32"/>
  <c r="S27" i="32"/>
  <c r="S48" i="32"/>
  <c r="R27" i="32"/>
  <c r="R45" i="32"/>
  <c r="S36" i="32"/>
  <c r="R36" i="32"/>
  <c r="S29" i="32"/>
  <c r="S42" i="32"/>
  <c r="S33" i="32"/>
  <c r="S32" i="32"/>
  <c r="R50" i="32"/>
  <c r="T28" i="32"/>
  <c r="T46" i="32"/>
  <c r="S25" i="32"/>
  <c r="R49" i="32"/>
  <c r="T24" i="32"/>
  <c r="T45" i="32"/>
  <c r="S24" i="32"/>
  <c r="R24" i="32"/>
  <c r="S21" i="32"/>
  <c r="T53" i="32"/>
  <c r="R37" i="32"/>
  <c r="S34" i="32"/>
  <c r="R47" i="32"/>
  <c r="R46" i="32"/>
  <c r="R53" i="32"/>
  <c r="T31" i="32"/>
  <c r="S47" i="32"/>
  <c r="R26" i="32"/>
  <c r="S44" i="32"/>
  <c r="R23" i="32"/>
  <c r="R44" i="32"/>
  <c r="T22" i="32"/>
  <c r="S46" i="32"/>
  <c r="R25" i="32"/>
  <c r="S43" i="32"/>
  <c r="R22" i="32"/>
  <c r="R43" i="32"/>
  <c r="T21" i="32"/>
  <c r="T33" i="32"/>
  <c r="T42" i="32"/>
  <c r="S37" i="32"/>
  <c r="T25" i="32"/>
  <c r="S50" i="32"/>
  <c r="R29" i="32"/>
  <c r="T44" i="32"/>
  <c r="S23" i="32"/>
  <c r="T41" i="32"/>
  <c r="S20" i="32"/>
  <c r="S41" i="32"/>
  <c r="R20" i="32"/>
  <c r="T43" i="32"/>
  <c r="S22" i="32"/>
  <c r="T40" i="32"/>
  <c r="S19" i="32"/>
  <c r="S40" i="32"/>
  <c r="AI17" i="32"/>
  <c r="AI15" i="32"/>
  <c r="AI6" i="32"/>
  <c r="AI13" i="32"/>
  <c r="AI10" i="32"/>
  <c r="AI9" i="32"/>
  <c r="AI7" i="32"/>
  <c r="AI11" i="32"/>
  <c r="AI4" i="32"/>
  <c r="AI16" i="32"/>
  <c r="AI8" i="32"/>
  <c r="AI18" i="32"/>
  <c r="AI5" i="32"/>
  <c r="AI14" i="32"/>
  <c r="AI12" i="32"/>
  <c r="AI3" i="32"/>
  <c r="I20" i="30"/>
  <c r="I19" i="30"/>
  <c r="E17" i="34"/>
  <c r="H20" i="30"/>
  <c r="H19" i="30"/>
  <c r="D17" i="34"/>
  <c r="F17" i="34"/>
  <c r="I7" i="6"/>
  <c r="I16" i="6"/>
  <c r="I3" i="6"/>
  <c r="I6" i="6"/>
  <c r="I11" i="6"/>
  <c r="I15" i="6"/>
  <c r="L52" i="3"/>
  <c r="L43" i="3"/>
  <c r="K43" i="3"/>
  <c r="K52" i="3"/>
  <c r="B12" i="6"/>
  <c r="M34" i="35"/>
  <c r="I12" i="6"/>
  <c r="I10" i="6"/>
  <c r="I17" i="6"/>
  <c r="I9" i="6"/>
  <c r="I5" i="6"/>
  <c r="I8" i="6"/>
  <c r="I4" i="6"/>
  <c r="O63" i="3"/>
  <c r="O62" i="3"/>
  <c r="AY4" i="3"/>
  <c r="AH20" i="3"/>
  <c r="O61" i="3"/>
  <c r="B17" i="6"/>
  <c r="M39" i="35"/>
  <c r="AR3" i="35"/>
  <c r="A7" i="3"/>
  <c r="AI8" i="3"/>
  <c r="AY8" i="3"/>
  <c r="A8" i="3"/>
  <c r="N6" i="3"/>
  <c r="M6" i="3"/>
  <c r="AH28" i="3"/>
  <c r="K11" i="35"/>
  <c r="A24" i="3"/>
  <c r="AQ11" i="35"/>
  <c r="AR11" i="35"/>
  <c r="A13" i="3"/>
  <c r="N15" i="3"/>
  <c r="M15" i="3"/>
  <c r="O66" i="3"/>
  <c r="AP3" i="35"/>
  <c r="B9" i="6"/>
  <c r="M31" i="35"/>
  <c r="J11" i="35"/>
  <c r="L27" i="3"/>
  <c r="L11" i="3"/>
  <c r="L36" i="3"/>
  <c r="L19" i="3"/>
  <c r="L48" i="3"/>
  <c r="B7" i="6"/>
  <c r="M29" i="35"/>
  <c r="B10" i="6"/>
  <c r="M32" i="35"/>
  <c r="B14" i="6"/>
  <c r="M36" i="35"/>
  <c r="K11" i="3"/>
  <c r="K48" i="3"/>
  <c r="K36" i="3"/>
  <c r="K19" i="3"/>
  <c r="K27" i="3"/>
  <c r="B16" i="6"/>
  <c r="M38" i="35"/>
  <c r="B11" i="6"/>
  <c r="M33" i="35"/>
  <c r="B3" i="6"/>
  <c r="M25" i="35"/>
  <c r="B2" i="6"/>
  <c r="M24" i="35"/>
  <c r="B15" i="6"/>
  <c r="M37" i="35"/>
  <c r="B8" i="6"/>
  <c r="M30" i="35"/>
  <c r="A21" i="3" a="1"/>
  <c r="A30" i="3" a="1"/>
  <c r="A16" i="3" a="1"/>
  <c r="A15" i="3" a="1"/>
  <c r="A5" i="3" a="1"/>
  <c r="A29" i="3" a="1"/>
  <c r="A22" i="3" a="1"/>
  <c r="A23" i="3" a="1"/>
  <c r="A6" i="3" a="1"/>
  <c r="A31" i="3" a="1"/>
  <c r="A14" i="3" a="1"/>
  <c r="A32" i="3" a="1"/>
  <c r="Q10" i="32"/>
  <c r="Q18" i="32"/>
  <c r="Q16" i="32"/>
  <c r="Q11" i="32"/>
  <c r="Q3" i="32"/>
  <c r="Q17" i="32"/>
  <c r="Q4" i="32"/>
  <c r="Q12" i="32"/>
  <c r="Q8" i="32"/>
  <c r="Q5" i="32"/>
  <c r="Q13" i="32"/>
  <c r="Q6" i="32"/>
  <c r="Q14" i="32"/>
  <c r="Q7" i="32"/>
  <c r="Q15" i="32"/>
  <c r="Q9" i="32"/>
  <c r="A23" i="3"/>
  <c r="AI24" i="3"/>
  <c r="AY24" i="3"/>
  <c r="BF21" i="3"/>
  <c r="A32" i="3"/>
  <c r="N29" i="3"/>
  <c r="M29" i="3"/>
  <c r="I7" i="3"/>
  <c r="J7" i="3"/>
  <c r="N4" i="3"/>
  <c r="M4" i="3"/>
  <c r="F5" i="35"/>
  <c r="CD9" i="3"/>
  <c r="AI9" i="3"/>
  <c r="AY9" i="3"/>
  <c r="BG5" i="3"/>
  <c r="BV8" i="3"/>
  <c r="N9" i="3"/>
  <c r="M9" i="3"/>
  <c r="CD8" i="3"/>
  <c r="N5" i="3"/>
  <c r="M5" i="3"/>
  <c r="I9" i="3"/>
  <c r="J9" i="3"/>
  <c r="BV9" i="3"/>
  <c r="I25" i="3"/>
  <c r="N23" i="3"/>
  <c r="M23" i="3"/>
  <c r="I13" i="3"/>
  <c r="J13" i="3"/>
  <c r="I16" i="3"/>
  <c r="J16" i="3"/>
  <c r="BV25" i="3"/>
  <c r="N20" i="3"/>
  <c r="CD25" i="3"/>
  <c r="AI25" i="3"/>
  <c r="AY25" i="3"/>
  <c r="BG21" i="3"/>
  <c r="AI14" i="3"/>
  <c r="AY14" i="3"/>
  <c r="BD13" i="3"/>
  <c r="BV14" i="3"/>
  <c r="CD14" i="3"/>
  <c r="A6" i="3"/>
  <c r="N8" i="3"/>
  <c r="A15" i="3"/>
  <c r="N17" i="3"/>
  <c r="M17" i="3"/>
  <c r="A22" i="3"/>
  <c r="N24" i="3"/>
  <c r="M24" i="3"/>
  <c r="A16" i="3"/>
  <c r="A29" i="3"/>
  <c r="N31" i="3"/>
  <c r="M31" i="3"/>
  <c r="A30" i="3"/>
  <c r="N32" i="3"/>
  <c r="M32" i="3"/>
  <c r="A31" i="3"/>
  <c r="A21" i="3"/>
  <c r="N22" i="3"/>
  <c r="M22" i="3"/>
  <c r="A5" i="3"/>
  <c r="A14" i="3"/>
  <c r="N16" i="3"/>
  <c r="M16" i="3"/>
  <c r="BF5" i="3"/>
  <c r="R15" i="32"/>
  <c r="S15" i="32"/>
  <c r="T15" i="32"/>
  <c r="R4" i="32"/>
  <c r="S4" i="32"/>
  <c r="T4" i="32"/>
  <c r="R7" i="32"/>
  <c r="S7" i="32"/>
  <c r="T7" i="32"/>
  <c r="T17" i="32"/>
  <c r="R17" i="32"/>
  <c r="S17" i="32"/>
  <c r="T3" i="32"/>
  <c r="S3" i="32"/>
  <c r="R3" i="32"/>
  <c r="R9" i="32"/>
  <c r="S9" i="32"/>
  <c r="T9" i="32"/>
  <c r="T6" i="32"/>
  <c r="R6" i="32"/>
  <c r="S6" i="32"/>
  <c r="S11" i="32"/>
  <c r="T11" i="32"/>
  <c r="R11" i="32"/>
  <c r="S12" i="32"/>
  <c r="R12" i="32"/>
  <c r="T12" i="32"/>
  <c r="R16" i="32"/>
  <c r="S16" i="32"/>
  <c r="T16" i="32"/>
  <c r="R5" i="32"/>
  <c r="S5" i="32"/>
  <c r="T5" i="32"/>
  <c r="T18" i="32"/>
  <c r="S18" i="32"/>
  <c r="R18" i="32"/>
  <c r="R14" i="32"/>
  <c r="S14" i="32"/>
  <c r="T14" i="32"/>
  <c r="S13" i="32"/>
  <c r="T13" i="32"/>
  <c r="R13" i="32"/>
  <c r="T8" i="32"/>
  <c r="R8" i="32"/>
  <c r="S8" i="32"/>
  <c r="R10" i="32"/>
  <c r="S10" i="32"/>
  <c r="T10" i="32"/>
  <c r="C3" i="32"/>
  <c r="AI33" i="3"/>
  <c r="AY33" i="3"/>
  <c r="BG29" i="3"/>
  <c r="BM29" i="3"/>
  <c r="N30" i="3"/>
  <c r="AL13" i="35"/>
  <c r="N21" i="3"/>
  <c r="M21" i="3"/>
  <c r="N25" i="3"/>
  <c r="M25" i="3"/>
  <c r="CD24" i="3"/>
  <c r="BV24" i="3"/>
  <c r="I22" i="3"/>
  <c r="J22" i="3"/>
  <c r="I33" i="3"/>
  <c r="J33" i="3"/>
  <c r="CD33" i="3"/>
  <c r="BV33" i="3"/>
  <c r="AI8" i="35"/>
  <c r="J25" i="3"/>
  <c r="F7" i="35"/>
  <c r="M8" i="3"/>
  <c r="AL3" i="35"/>
  <c r="M20" i="3"/>
  <c r="F4" i="35"/>
  <c r="C8" i="35"/>
  <c r="I31" i="3"/>
  <c r="J31" i="3"/>
  <c r="N28" i="3"/>
  <c r="M28" i="3"/>
  <c r="I29" i="3"/>
  <c r="J29" i="3"/>
  <c r="I32" i="3"/>
  <c r="I28" i="3"/>
  <c r="J28" i="3"/>
  <c r="I30" i="3"/>
  <c r="J30" i="3"/>
  <c r="I20" i="3"/>
  <c r="I24" i="3"/>
  <c r="J24" i="3"/>
  <c r="I21" i="3"/>
  <c r="J21" i="3"/>
  <c r="I23" i="3"/>
  <c r="J23" i="3"/>
  <c r="I15" i="3"/>
  <c r="N12" i="3"/>
  <c r="M12" i="3"/>
  <c r="I12" i="3"/>
  <c r="J12" i="3"/>
  <c r="I14" i="3"/>
  <c r="J14" i="3"/>
  <c r="I8" i="3"/>
  <c r="J8" i="3"/>
  <c r="N7" i="3"/>
  <c r="M7" i="3"/>
  <c r="I5" i="3"/>
  <c r="J5" i="3"/>
  <c r="I6" i="3"/>
  <c r="J6" i="3"/>
  <c r="AL5" i="35"/>
  <c r="AL12" i="35"/>
  <c r="AL6" i="35"/>
  <c r="AL7" i="35"/>
  <c r="F16" i="35"/>
  <c r="AI22" i="3"/>
  <c r="BV22" i="3"/>
  <c r="CD22" i="3"/>
  <c r="N33" i="3"/>
  <c r="M33" i="3"/>
  <c r="BV32" i="3"/>
  <c r="CD32" i="3"/>
  <c r="AI32" i="3"/>
  <c r="CD31" i="3"/>
  <c r="BV31" i="3"/>
  <c r="AI31" i="3"/>
  <c r="AI30" i="3"/>
  <c r="CD30" i="3"/>
  <c r="BV30" i="3"/>
  <c r="N14" i="3"/>
  <c r="M14" i="3"/>
  <c r="I17" i="3"/>
  <c r="J17" i="3"/>
  <c r="N13" i="3"/>
  <c r="M13" i="3"/>
  <c r="BV17" i="3"/>
  <c r="AI17" i="3"/>
  <c r="CD17" i="3"/>
  <c r="AI23" i="3"/>
  <c r="BV23" i="3"/>
  <c r="CD23" i="3"/>
  <c r="AI15" i="3"/>
  <c r="BV15" i="3"/>
  <c r="CD15" i="3"/>
  <c r="BV16" i="3"/>
  <c r="CD16" i="3"/>
  <c r="AI16" i="3"/>
  <c r="CD6" i="3"/>
  <c r="AI6" i="3"/>
  <c r="BV6" i="3"/>
  <c r="I4" i="3"/>
  <c r="J4" i="3"/>
  <c r="AI7" i="3"/>
  <c r="CD7" i="3"/>
  <c r="BV7" i="3"/>
  <c r="BR21" i="3"/>
  <c r="BL21" i="3"/>
  <c r="BR5" i="3"/>
  <c r="BL5" i="3"/>
  <c r="BM21" i="3"/>
  <c r="BS21" i="3"/>
  <c r="BJ13" i="3"/>
  <c r="BP13" i="3"/>
  <c r="BS5" i="3"/>
  <c r="BM5" i="3"/>
  <c r="N2" i="32"/>
  <c r="M2" i="32"/>
  <c r="AE49" i="32"/>
  <c r="BS29" i="3"/>
  <c r="M30" i="3"/>
  <c r="AI15" i="35"/>
  <c r="J32" i="3"/>
  <c r="C14" i="35"/>
  <c r="J15" i="3"/>
  <c r="AI3" i="35"/>
  <c r="J20" i="3"/>
  <c r="B10" i="31"/>
  <c r="C11" i="35"/>
  <c r="F6" i="35"/>
  <c r="C4" i="35"/>
  <c r="B7" i="31"/>
  <c r="BG8" i="3" a="1"/>
  <c r="BG8" i="3"/>
  <c r="BF9" i="3" a="1"/>
  <c r="BF9" i="3"/>
  <c r="AG37" i="32"/>
  <c r="W37" i="32"/>
  <c r="AG45" i="32"/>
  <c r="W45" i="32"/>
  <c r="AG7" i="32"/>
  <c r="AG6" i="32"/>
  <c r="W7" i="32"/>
  <c r="AG28" i="32"/>
  <c r="W28" i="32"/>
  <c r="AG14" i="32"/>
  <c r="W6" i="32"/>
  <c r="AG23" i="32"/>
  <c r="W23" i="32"/>
  <c r="AG18" i="32"/>
  <c r="AG12" i="32"/>
  <c r="W18" i="32"/>
  <c r="AG49" i="32"/>
  <c r="W49" i="32"/>
  <c r="AG20" i="32"/>
  <c r="W20" i="32"/>
  <c r="AG47" i="32"/>
  <c r="W47" i="32"/>
  <c r="AG8" i="32"/>
  <c r="W10" i="32"/>
  <c r="AG5" i="32"/>
  <c r="W5" i="32"/>
  <c r="AG54" i="32"/>
  <c r="W54" i="32"/>
  <c r="AG51" i="32"/>
  <c r="W51" i="32"/>
  <c r="AG38" i="32"/>
  <c r="W38" i="32"/>
  <c r="AG36" i="32"/>
  <c r="W36" i="32"/>
  <c r="AG46" i="32"/>
  <c r="W46" i="32"/>
  <c r="AG26" i="32"/>
  <c r="W26" i="32"/>
  <c r="AG17" i="32"/>
  <c r="AG31" i="32"/>
  <c r="W31" i="32"/>
  <c r="AG27" i="32"/>
  <c r="W27" i="32"/>
  <c r="AG32" i="32"/>
  <c r="W32" i="32"/>
  <c r="AG52" i="32"/>
  <c r="W52" i="32"/>
  <c r="AG29" i="32"/>
  <c r="W29" i="32"/>
  <c r="AE3" i="32"/>
  <c r="U3" i="32"/>
  <c r="AG9" i="32"/>
  <c r="AG13" i="32"/>
  <c r="AG41" i="32"/>
  <c r="W41" i="32"/>
  <c r="AG22" i="32"/>
  <c r="W22" i="32"/>
  <c r="AG24" i="32"/>
  <c r="W24" i="32"/>
  <c r="AG42" i="32"/>
  <c r="W42" i="32"/>
  <c r="AG3" i="32"/>
  <c r="W3" i="32"/>
  <c r="AG35" i="32"/>
  <c r="W35" i="32"/>
  <c r="BG24" i="3" a="1"/>
  <c r="BG24" i="3"/>
  <c r="BF25" i="3" a="1"/>
  <c r="BF25" i="3"/>
  <c r="AL16" i="35"/>
  <c r="B15" i="31"/>
  <c r="C6" i="35"/>
  <c r="AY17" i="3"/>
  <c r="BP17" i="3" a="1"/>
  <c r="BP17" i="3"/>
  <c r="AK17" i="3"/>
  <c r="AM17" i="3" a="1"/>
  <c r="AM17" i="3"/>
  <c r="AP17" i="3" a="1"/>
  <c r="AP17" i="3"/>
  <c r="AN17" i="3" a="1"/>
  <c r="AN17" i="3"/>
  <c r="AL17" i="3" a="1"/>
  <c r="AL17" i="3"/>
  <c r="AO17" i="3" a="1"/>
  <c r="AO17" i="3"/>
  <c r="F3" i="35"/>
  <c r="AP25" i="3" a="1"/>
  <c r="AP25" i="3"/>
  <c r="AP14" i="3" a="1"/>
  <c r="AP14" i="3"/>
  <c r="AP8" i="3" a="1"/>
  <c r="AP8" i="3"/>
  <c r="AP33" i="3" a="1"/>
  <c r="AP33" i="3"/>
  <c r="AP9" i="3" a="1"/>
  <c r="AP9" i="3"/>
  <c r="AP24" i="3" a="1"/>
  <c r="AP24" i="3"/>
  <c r="AY6" i="3"/>
  <c r="BR6" i="3" a="1"/>
  <c r="BR6" i="3"/>
  <c r="AO6" i="3" a="1"/>
  <c r="AO6" i="3"/>
  <c r="AN6" i="3" a="1"/>
  <c r="AN6" i="3"/>
  <c r="AM6" i="3" a="1"/>
  <c r="AM6" i="3"/>
  <c r="AL6" i="3" a="1"/>
  <c r="AL6" i="3"/>
  <c r="AK6" i="3"/>
  <c r="AP6" i="3" a="1"/>
  <c r="AP6" i="3"/>
  <c r="B9" i="31"/>
  <c r="C12" i="35"/>
  <c r="AL4" i="35"/>
  <c r="AI11" i="35"/>
  <c r="B12" i="31"/>
  <c r="AL14" i="35"/>
  <c r="B14" i="31"/>
  <c r="C5" i="35"/>
  <c r="AY15" i="3"/>
  <c r="BP15" i="3" a="1"/>
  <c r="BP15" i="3"/>
  <c r="AN15" i="3" a="1"/>
  <c r="AN15" i="3"/>
  <c r="AM15" i="3" a="1"/>
  <c r="AM15" i="3"/>
  <c r="AP15" i="3" a="1"/>
  <c r="AP15" i="3"/>
  <c r="AL15" i="3" a="1"/>
  <c r="AL15" i="3"/>
  <c r="AO15" i="3" a="1"/>
  <c r="AO15" i="3"/>
  <c r="AK15" i="3"/>
  <c r="AL15" i="35"/>
  <c r="B28" i="31"/>
  <c r="F15" i="35"/>
  <c r="F12" i="35"/>
  <c r="AY30" i="3"/>
  <c r="AM30" i="3" a="1"/>
  <c r="AM30" i="3"/>
  <c r="AL30" i="3" a="1"/>
  <c r="AL30" i="3"/>
  <c r="AO30" i="3" a="1"/>
  <c r="AO30" i="3"/>
  <c r="AK30" i="3"/>
  <c r="AP30" i="3" a="1"/>
  <c r="AP30" i="3"/>
  <c r="AN30" i="3" a="1"/>
  <c r="AN30" i="3"/>
  <c r="AI6" i="35"/>
  <c r="B19" i="31"/>
  <c r="AY7" i="3"/>
  <c r="BS7" i="3" a="1"/>
  <c r="BS7" i="3"/>
  <c r="AN7" i="3" a="1"/>
  <c r="AN7" i="3"/>
  <c r="AO7" i="3" a="1"/>
  <c r="AO7" i="3"/>
  <c r="AK7" i="3"/>
  <c r="AL7" i="3" a="1"/>
  <c r="AL7" i="3"/>
  <c r="AP7" i="3" a="1"/>
  <c r="AP7" i="3"/>
  <c r="AM7" i="3" a="1"/>
  <c r="AM7" i="3"/>
  <c r="C16" i="35"/>
  <c r="B25" i="31"/>
  <c r="C7" i="35"/>
  <c r="B22" i="31"/>
  <c r="F11" i="35"/>
  <c r="B8" i="31"/>
  <c r="B26" i="31"/>
  <c r="AI7" i="35"/>
  <c r="F13" i="35"/>
  <c r="AI13" i="35"/>
  <c r="B20" i="31"/>
  <c r="AY32" i="3"/>
  <c r="AM32" i="3" a="1"/>
  <c r="AM32" i="3"/>
  <c r="AN32" i="3" a="1"/>
  <c r="AN32" i="3"/>
  <c r="AK32" i="3"/>
  <c r="AL32" i="3" a="1"/>
  <c r="AL32" i="3"/>
  <c r="AO32" i="3" a="1"/>
  <c r="AO32" i="3"/>
  <c r="AP32" i="3" a="1"/>
  <c r="AP32" i="3"/>
  <c r="AM33" i="3" a="1"/>
  <c r="AM33" i="3"/>
  <c r="B6" i="31"/>
  <c r="C3" i="35"/>
  <c r="AO8" i="3" a="1"/>
  <c r="AO8" i="3"/>
  <c r="AL25" i="3" a="1"/>
  <c r="AL25" i="3"/>
  <c r="AM14" i="3" a="1"/>
  <c r="AM14" i="3"/>
  <c r="AO25" i="3" a="1"/>
  <c r="AO25" i="3"/>
  <c r="AL9" i="3" a="1"/>
  <c r="AL9" i="3"/>
  <c r="AN9" i="3" a="1"/>
  <c r="AN9" i="3"/>
  <c r="AM25" i="3" a="1"/>
  <c r="AM25" i="3"/>
  <c r="AL24" i="3" a="1"/>
  <c r="AL24" i="3"/>
  <c r="AM8" i="3" a="1"/>
  <c r="AM8" i="3"/>
  <c r="AL8" i="3" a="1"/>
  <c r="AL8" i="3"/>
  <c r="AK9" i="3"/>
  <c r="AK33" i="3"/>
  <c r="AO24" i="3" a="1"/>
  <c r="AO24" i="3"/>
  <c r="AO9" i="3" a="1"/>
  <c r="AO9" i="3"/>
  <c r="AK24" i="3"/>
  <c r="AN24" i="3" a="1"/>
  <c r="AN24" i="3"/>
  <c r="AN25" i="3" a="1"/>
  <c r="AN25" i="3"/>
  <c r="AL33" i="3" a="1"/>
  <c r="AL33" i="3"/>
  <c r="AL14" i="3" a="1"/>
  <c r="AL14" i="3"/>
  <c r="AN33" i="3" a="1"/>
  <c r="AN33" i="3"/>
  <c r="AK25" i="3"/>
  <c r="AM9" i="3" a="1"/>
  <c r="AM9" i="3"/>
  <c r="AN8" i="3" a="1"/>
  <c r="AN8" i="3"/>
  <c r="AO14" i="3" a="1"/>
  <c r="AO14" i="3"/>
  <c r="AK8" i="3"/>
  <c r="AN14" i="3" a="1"/>
  <c r="AN14" i="3"/>
  <c r="AO33" i="3" a="1"/>
  <c r="AO33" i="3"/>
  <c r="AK14" i="3"/>
  <c r="AM24" i="3" a="1"/>
  <c r="AM24" i="3"/>
  <c r="F14" i="35"/>
  <c r="B17" i="31"/>
  <c r="AY23" i="3"/>
  <c r="BR23" i="3" a="1"/>
  <c r="BR23" i="3"/>
  <c r="AL23" i="3" a="1"/>
  <c r="AL23" i="3"/>
  <c r="AN23" i="3" a="1"/>
  <c r="AN23" i="3"/>
  <c r="AO23" i="3" a="1"/>
  <c r="AO23" i="3"/>
  <c r="AK23" i="3"/>
  <c r="AM23" i="3" a="1"/>
  <c r="AM23" i="3"/>
  <c r="AP23" i="3" a="1"/>
  <c r="AP23" i="3"/>
  <c r="AY31" i="3"/>
  <c r="AN31" i="3" a="1"/>
  <c r="AN31" i="3"/>
  <c r="AK31" i="3"/>
  <c r="AL31" i="3" a="1"/>
  <c r="AL31" i="3"/>
  <c r="AP31" i="3" a="1"/>
  <c r="AP31" i="3"/>
  <c r="AM31" i="3" a="1"/>
  <c r="AM31" i="3"/>
  <c r="AO31" i="3" a="1"/>
  <c r="AO31" i="3"/>
  <c r="AY22" i="3"/>
  <c r="BR22" i="3" a="1"/>
  <c r="BR22" i="3"/>
  <c r="AK22" i="3"/>
  <c r="AN22" i="3" a="1"/>
  <c r="AN22" i="3"/>
  <c r="AL22" i="3" a="1"/>
  <c r="AL22" i="3"/>
  <c r="AO22" i="3" a="1"/>
  <c r="AO22" i="3"/>
  <c r="AP22" i="3" a="1"/>
  <c r="AP22" i="3"/>
  <c r="AM22" i="3" a="1"/>
  <c r="AM22" i="3"/>
  <c r="AM16" i="3" a="1"/>
  <c r="AM16" i="3"/>
  <c r="AY16" i="3"/>
  <c r="BP16" i="3" a="1"/>
  <c r="BP16" i="3"/>
  <c r="AP16" i="3" a="1"/>
  <c r="AP16" i="3"/>
  <c r="AO16" i="3" a="1"/>
  <c r="AO16" i="3"/>
  <c r="AL16" i="3" a="1"/>
  <c r="AL16" i="3"/>
  <c r="AN16" i="3" a="1"/>
  <c r="AN16" i="3"/>
  <c r="AK16" i="3"/>
  <c r="C13" i="35"/>
  <c r="B16" i="31"/>
  <c r="B18" i="31"/>
  <c r="AI5" i="35"/>
  <c r="AI16" i="35"/>
  <c r="B29" i="31"/>
  <c r="AI12" i="35"/>
  <c r="B13" i="31"/>
  <c r="B27" i="31"/>
  <c r="AL8" i="35"/>
  <c r="B23" i="31"/>
  <c r="F8" i="35"/>
  <c r="C15" i="35"/>
  <c r="B24" i="31"/>
  <c r="B21" i="31"/>
  <c r="AI14" i="35"/>
  <c r="AL11" i="35"/>
  <c r="AI4" i="35"/>
  <c r="B11" i="31"/>
  <c r="BS8" i="3" a="1"/>
  <c r="BS8" i="3"/>
  <c r="BR25" i="3" a="1"/>
  <c r="BR25" i="3"/>
  <c r="BS24" i="3" a="1"/>
  <c r="BS24" i="3"/>
  <c r="BR9" i="3" a="1"/>
  <c r="BR9" i="3"/>
  <c r="AG48" i="32"/>
  <c r="W48" i="32"/>
  <c r="AG53" i="32"/>
  <c r="W53" i="32"/>
  <c r="AG33" i="32"/>
  <c r="W33" i="32"/>
  <c r="AG39" i="32"/>
  <c r="W39" i="32"/>
  <c r="AG40" i="32"/>
  <c r="W40" i="32"/>
  <c r="W8" i="32"/>
  <c r="AE27" i="32"/>
  <c r="AF27" i="32"/>
  <c r="V27" i="32"/>
  <c r="AE22" i="32"/>
  <c r="AG30" i="32"/>
  <c r="W30" i="32"/>
  <c r="AG21" i="32"/>
  <c r="W21" i="32"/>
  <c r="AG34" i="32"/>
  <c r="W34" i="32"/>
  <c r="AG44" i="32"/>
  <c r="W44" i="32"/>
  <c r="AG25" i="32"/>
  <c r="W25" i="32"/>
  <c r="AG16" i="32"/>
  <c r="W9" i="32"/>
  <c r="AE4" i="32"/>
  <c r="U4" i="32"/>
  <c r="AE20" i="32"/>
  <c r="AE36" i="32"/>
  <c r="AG10" i="32"/>
  <c r="W16" i="32"/>
  <c r="AG15" i="32"/>
  <c r="W13" i="32"/>
  <c r="AG19" i="32"/>
  <c r="W19" i="32"/>
  <c r="AG4" i="32"/>
  <c r="W4" i="32"/>
  <c r="AG50" i="32"/>
  <c r="W50" i="32"/>
  <c r="AG11" i="32"/>
  <c r="W17" i="32"/>
  <c r="AG43" i="32"/>
  <c r="W43" i="32"/>
  <c r="AE48" i="32"/>
  <c r="U48" i="32"/>
  <c r="AE17" i="32"/>
  <c r="W11" i="32"/>
  <c r="AE11" i="32"/>
  <c r="U17" i="32"/>
  <c r="AE29" i="32"/>
  <c r="AE45" i="32"/>
  <c r="AE53" i="32"/>
  <c r="AF53" i="32"/>
  <c r="V53" i="32"/>
  <c r="AE51" i="32"/>
  <c r="AE38" i="32"/>
  <c r="AE41" i="32"/>
  <c r="U41" i="32"/>
  <c r="AE12" i="32"/>
  <c r="U18" i="32"/>
  <c r="AE7" i="32"/>
  <c r="AF7" i="32"/>
  <c r="AE10" i="32"/>
  <c r="AE52" i="32"/>
  <c r="AF52" i="32"/>
  <c r="V52" i="32"/>
  <c r="AE47" i="32"/>
  <c r="AF47" i="32"/>
  <c r="V47" i="32"/>
  <c r="AE18" i="32"/>
  <c r="BS32" i="3" a="1"/>
  <c r="BS32" i="3"/>
  <c r="BS31" i="3" a="1"/>
  <c r="BS31" i="3"/>
  <c r="AE28" i="32"/>
  <c r="U28" i="32"/>
  <c r="AE46" i="32"/>
  <c r="AF46" i="32"/>
  <c r="V46" i="32"/>
  <c r="AE24" i="32"/>
  <c r="AF24" i="32"/>
  <c r="V24" i="32"/>
  <c r="AE26" i="32"/>
  <c r="U26" i="32"/>
  <c r="AE13" i="32"/>
  <c r="AE54" i="32"/>
  <c r="AF54" i="32"/>
  <c r="V54" i="32"/>
  <c r="AE40" i="32"/>
  <c r="AF40" i="32"/>
  <c r="V40" i="32"/>
  <c r="AE34" i="32"/>
  <c r="U34" i="32"/>
  <c r="AE43" i="32"/>
  <c r="AF43" i="32"/>
  <c r="V43" i="32"/>
  <c r="AE37" i="32"/>
  <c r="AF37" i="32"/>
  <c r="V37" i="32"/>
  <c r="AE31" i="32"/>
  <c r="U31" i="32"/>
  <c r="AE9" i="32"/>
  <c r="U15" i="32"/>
  <c r="BS30" i="3" a="1"/>
  <c r="BS30" i="3"/>
  <c r="AE35" i="32"/>
  <c r="AF35" i="32"/>
  <c r="V35" i="32"/>
  <c r="AE44" i="32"/>
  <c r="AF44" i="32"/>
  <c r="V44" i="32"/>
  <c r="AE6" i="32"/>
  <c r="AF6" i="32"/>
  <c r="AE15" i="32"/>
  <c r="AF15" i="32"/>
  <c r="AE8" i="32"/>
  <c r="U10" i="32"/>
  <c r="AE25" i="32"/>
  <c r="AF25" i="32"/>
  <c r="V25" i="32"/>
  <c r="AE42" i="32"/>
  <c r="AF42" i="32"/>
  <c r="V42" i="32"/>
  <c r="AE5" i="32"/>
  <c r="U5" i="32"/>
  <c r="AE14" i="32"/>
  <c r="U8" i="32"/>
  <c r="AE23" i="32"/>
  <c r="AF23" i="32"/>
  <c r="V23" i="32"/>
  <c r="AE16" i="32"/>
  <c r="AF16" i="32"/>
  <c r="V9" i="32"/>
  <c r="AE33" i="32"/>
  <c r="AF33" i="32"/>
  <c r="V33" i="32"/>
  <c r="AE50" i="32"/>
  <c r="AF50" i="32"/>
  <c r="V50" i="32"/>
  <c r="AE19" i="32"/>
  <c r="AF19" i="32"/>
  <c r="V19" i="32"/>
  <c r="AE21" i="32"/>
  <c r="AF21" i="32"/>
  <c r="V21" i="32"/>
  <c r="AE30" i="32"/>
  <c r="U30" i="32"/>
  <c r="AE39" i="32"/>
  <c r="AF39" i="32"/>
  <c r="V39" i="32"/>
  <c r="AE32" i="32"/>
  <c r="AF32" i="32"/>
  <c r="V32" i="32"/>
  <c r="W14" i="32"/>
  <c r="W12" i="32"/>
  <c r="W15" i="32"/>
  <c r="AF45" i="32"/>
  <c r="V45" i="32"/>
  <c r="U45" i="32"/>
  <c r="AF22" i="32"/>
  <c r="V22" i="32"/>
  <c r="U22" i="32"/>
  <c r="AF38" i="32"/>
  <c r="V38" i="32"/>
  <c r="U38" i="32"/>
  <c r="AF51" i="32"/>
  <c r="V51" i="32"/>
  <c r="U51" i="32"/>
  <c r="AF48" i="32"/>
  <c r="V48" i="32"/>
  <c r="U27" i="32"/>
  <c r="AF36" i="32"/>
  <c r="V36" i="32"/>
  <c r="U36" i="32"/>
  <c r="AF26" i="32"/>
  <c r="V26" i="32"/>
  <c r="AF20" i="32"/>
  <c r="V20" i="32"/>
  <c r="U20" i="32"/>
  <c r="AF29" i="32"/>
  <c r="V29" i="32"/>
  <c r="U29" i="32"/>
  <c r="AF41" i="32"/>
  <c r="V41" i="32"/>
  <c r="AF49" i="32"/>
  <c r="V49" i="32"/>
  <c r="U49" i="32"/>
  <c r="AF28" i="32"/>
  <c r="V28" i="32"/>
  <c r="U35" i="32"/>
  <c r="AF18" i="32"/>
  <c r="U14" i="32"/>
  <c r="AF17" i="32"/>
  <c r="V12" i="32"/>
  <c r="U12" i="32"/>
  <c r="AF10" i="32"/>
  <c r="AF11" i="32"/>
  <c r="V17" i="32"/>
  <c r="AF3" i="32"/>
  <c r="V3" i="32"/>
  <c r="BM24" i="3"/>
  <c r="BL9" i="3"/>
  <c r="BS6" i="3" a="1"/>
  <c r="BS6" i="3"/>
  <c r="AQ24" i="3"/>
  <c r="BM8" i="3"/>
  <c r="AQ32" i="3"/>
  <c r="BL25" i="3"/>
  <c r="AQ30" i="3"/>
  <c r="BS23" i="3" a="1"/>
  <c r="BS23" i="3"/>
  <c r="AQ14" i="3"/>
  <c r="AJ33" i="3"/>
  <c r="BS22" i="3" a="1"/>
  <c r="BS22" i="3"/>
  <c r="BR7" i="3" a="1"/>
  <c r="BR7" i="3"/>
  <c r="AQ33" i="3"/>
  <c r="AQ9" i="3"/>
  <c r="AJ22" i="3"/>
  <c r="AJ23" i="3"/>
  <c r="AQ15" i="3"/>
  <c r="AJ16" i="3"/>
  <c r="AQ7" i="3"/>
  <c r="AJ15" i="3"/>
  <c r="AQ6" i="3"/>
  <c r="AJ17" i="3"/>
  <c r="AJ8" i="3"/>
  <c r="AJ30" i="3"/>
  <c r="AQ23" i="3"/>
  <c r="BD29" i="3"/>
  <c r="BG30" i="3" a="1"/>
  <c r="BG30" i="3"/>
  <c r="AQ25" i="3"/>
  <c r="AQ22" i="3"/>
  <c r="AJ31" i="3"/>
  <c r="AJ14" i="3"/>
  <c r="BG13" i="3"/>
  <c r="BD17" i="3" a="1"/>
  <c r="BD17" i="3"/>
  <c r="AJ25" i="3"/>
  <c r="AJ32" i="3"/>
  <c r="AJ7" i="3"/>
  <c r="BD5" i="3"/>
  <c r="BF6" i="3" a="1"/>
  <c r="BF6" i="3"/>
  <c r="BG6" i="3" a="1"/>
  <c r="BG6" i="3"/>
  <c r="AQ16" i="3"/>
  <c r="BE21" i="3"/>
  <c r="BE22" i="3" a="1"/>
  <c r="BE22" i="3"/>
  <c r="BG23" i="3" a="1"/>
  <c r="BG23" i="3"/>
  <c r="BF23" i="3" a="1"/>
  <c r="BF23" i="3"/>
  <c r="AQ17" i="3"/>
  <c r="BE29" i="3"/>
  <c r="BE32" i="3" a="1"/>
  <c r="BE32" i="3"/>
  <c r="BG31" i="3" a="1"/>
  <c r="BG31" i="3"/>
  <c r="AJ24" i="3"/>
  <c r="BF13" i="3"/>
  <c r="BF15" i="3" a="1"/>
  <c r="BF15" i="3"/>
  <c r="BD16" i="3" a="1"/>
  <c r="BD16" i="3"/>
  <c r="BD21" i="3"/>
  <c r="BF22" i="3" a="1"/>
  <c r="BF22" i="3"/>
  <c r="BG22" i="3" a="1"/>
  <c r="BG22" i="3"/>
  <c r="AQ31" i="3"/>
  <c r="BF29" i="3"/>
  <c r="BG32" i="3" a="1"/>
  <c r="BG32" i="3"/>
  <c r="BE5" i="3"/>
  <c r="BF7" i="3" a="1"/>
  <c r="BF7" i="3"/>
  <c r="BG7" i="3" a="1"/>
  <c r="BG7" i="3"/>
  <c r="BE13" i="3"/>
  <c r="BE16" i="3" a="1"/>
  <c r="BE16" i="3"/>
  <c r="BD15" i="3" a="1"/>
  <c r="BD15" i="3"/>
  <c r="AJ6" i="3"/>
  <c r="AQ8" i="3"/>
  <c r="AJ9" i="3"/>
  <c r="AF4" i="32"/>
  <c r="V4" i="32"/>
  <c r="U11" i="32"/>
  <c r="V7" i="32"/>
  <c r="U53" i="32"/>
  <c r="U16" i="32"/>
  <c r="U13" i="32"/>
  <c r="U50" i="32"/>
  <c r="U46" i="32"/>
  <c r="U43" i="32"/>
  <c r="U37" i="32"/>
  <c r="U7" i="32"/>
  <c r="U33" i="32"/>
  <c r="AF12" i="32"/>
  <c r="V18" i="32"/>
  <c r="AF8" i="32"/>
  <c r="V10" i="32"/>
  <c r="AF31" i="32"/>
  <c r="V31" i="32"/>
  <c r="AF9" i="32"/>
  <c r="V14" i="32"/>
  <c r="AF13" i="32"/>
  <c r="V11" i="32"/>
  <c r="U52" i="32"/>
  <c r="U47" i="32"/>
  <c r="U54" i="32"/>
  <c r="U23" i="32"/>
  <c r="AF34" i="32"/>
  <c r="V34" i="32"/>
  <c r="AF14" i="32"/>
  <c r="V8" i="32"/>
  <c r="U40" i="32"/>
  <c r="U32" i="32"/>
  <c r="U44" i="32"/>
  <c r="U39" i="32"/>
  <c r="AF30" i="32"/>
  <c r="V30" i="32"/>
  <c r="U19" i="32"/>
  <c r="U6" i="32"/>
  <c r="U9" i="32"/>
  <c r="U24" i="32"/>
  <c r="U42" i="32"/>
  <c r="AF5" i="32"/>
  <c r="V5" i="32"/>
  <c r="U25" i="32"/>
  <c r="U21" i="32"/>
  <c r="V13" i="32"/>
  <c r="C24" i="32" a="1"/>
  <c r="C24" i="32"/>
  <c r="C22" i="32" a="1"/>
  <c r="C22" i="32"/>
  <c r="C16" i="32" a="1"/>
  <c r="C16" i="32"/>
  <c r="F16" i="3"/>
  <c r="C33" i="32" a="1"/>
  <c r="C33" i="32"/>
  <c r="G33" i="3"/>
  <c r="C13" i="32" a="1"/>
  <c r="C13" i="32"/>
  <c r="G13" i="3"/>
  <c r="C30" i="32" a="1"/>
  <c r="C30" i="32"/>
  <c r="F30" i="3"/>
  <c r="C40" i="32" a="1"/>
  <c r="C40" i="32"/>
  <c r="F40" i="3"/>
  <c r="C32" i="32" a="1"/>
  <c r="C32" i="32"/>
  <c r="F32" i="3"/>
  <c r="C20" i="32" a="1"/>
  <c r="C20" i="32"/>
  <c r="C29" i="32" a="1"/>
  <c r="C29" i="32"/>
  <c r="F29" i="3"/>
  <c r="C7" i="32" a="1"/>
  <c r="C7" i="32"/>
  <c r="C15" i="32" a="1"/>
  <c r="C15" i="32"/>
  <c r="F15" i="3"/>
  <c r="C44" i="32" a="1"/>
  <c r="C44" i="32"/>
  <c r="G45" i="3"/>
  <c r="C37" i="32" a="1"/>
  <c r="C37" i="32"/>
  <c r="F37" i="3"/>
  <c r="C4" i="32" a="1"/>
  <c r="C4" i="32"/>
  <c r="F4" i="3"/>
  <c r="C23" i="32" a="1"/>
  <c r="C23" i="32"/>
  <c r="G23" i="3"/>
  <c r="C31" i="32" a="1"/>
  <c r="C31" i="32"/>
  <c r="F31" i="3"/>
  <c r="C17" i="32" a="1"/>
  <c r="C17" i="32"/>
  <c r="G17" i="3"/>
  <c r="C38" i="32" a="1"/>
  <c r="C38" i="32"/>
  <c r="G38" i="3"/>
  <c r="C14" i="32" a="1"/>
  <c r="C14" i="32"/>
  <c r="G14" i="3"/>
  <c r="C8" i="32" a="1"/>
  <c r="C8" i="32"/>
  <c r="F8" i="3"/>
  <c r="BC22" i="3"/>
  <c r="BL15" i="3"/>
  <c r="BK16" i="3"/>
  <c r="BD9" i="3" a="1"/>
  <c r="BD9" i="3"/>
  <c r="BJ9" i="3"/>
  <c r="BJ5" i="3"/>
  <c r="BD8" i="3" a="1"/>
  <c r="BD8" i="3"/>
  <c r="BJ8" i="3"/>
  <c r="BP5" i="3"/>
  <c r="BF14" i="3" a="1"/>
  <c r="BF14" i="3"/>
  <c r="BL14" i="3"/>
  <c r="BR13" i="3"/>
  <c r="BL13" i="3"/>
  <c r="AZ32" i="3"/>
  <c r="AZ33" i="3"/>
  <c r="AZ31" i="3"/>
  <c r="AZ30" i="3"/>
  <c r="BG14" i="3" a="1"/>
  <c r="BG14" i="3"/>
  <c r="BM14" i="3"/>
  <c r="BS13" i="3"/>
  <c r="BM13" i="3"/>
  <c r="BE24" i="3" a="1"/>
  <c r="BE24" i="3"/>
  <c r="BK24" i="3"/>
  <c r="BE25" i="3" a="1"/>
  <c r="BE25" i="3"/>
  <c r="BQ21" i="3"/>
  <c r="BK21" i="3"/>
  <c r="AZ25" i="3"/>
  <c r="AZ16" i="3"/>
  <c r="AZ7" i="3"/>
  <c r="BD31" i="3" a="1"/>
  <c r="BD31" i="3"/>
  <c r="BP29" i="3"/>
  <c r="BJ29" i="3"/>
  <c r="BD33" i="3" a="1"/>
  <c r="BD33" i="3"/>
  <c r="BJ33" i="3"/>
  <c r="BD7" i="3" a="1"/>
  <c r="BD7" i="3"/>
  <c r="BC7" i="3"/>
  <c r="AZ24" i="3"/>
  <c r="AZ22" i="3"/>
  <c r="AZ15" i="3"/>
  <c r="AZ14" i="3"/>
  <c r="AZ17" i="3"/>
  <c r="AZ9" i="3"/>
  <c r="AZ8" i="3"/>
  <c r="AZ6" i="3"/>
  <c r="BE8" i="3" a="1"/>
  <c r="BE8" i="3"/>
  <c r="BK8" i="3"/>
  <c r="BE9" i="3" a="1"/>
  <c r="BE9" i="3"/>
  <c r="BK9" i="3"/>
  <c r="BQ5" i="3"/>
  <c r="BK5" i="3"/>
  <c r="AZ23" i="3"/>
  <c r="BE17" i="3" a="1"/>
  <c r="BE17" i="3"/>
  <c r="BQ13" i="3"/>
  <c r="BK13" i="3"/>
  <c r="BE14" i="3" a="1"/>
  <c r="BE14" i="3"/>
  <c r="BK14" i="3"/>
  <c r="BF30" i="3" a="1"/>
  <c r="BF30" i="3"/>
  <c r="BF33" i="3" a="1"/>
  <c r="BF33" i="3"/>
  <c r="BL33" i="3"/>
  <c r="BR29" i="3"/>
  <c r="BL29" i="3"/>
  <c r="BF31" i="3" a="1"/>
  <c r="BF31" i="3"/>
  <c r="BL31" i="3"/>
  <c r="BG15" i="3" a="1"/>
  <c r="BG15" i="3"/>
  <c r="BC15" i="3"/>
  <c r="BD23" i="3" a="1"/>
  <c r="BD23" i="3"/>
  <c r="BK22" i="3"/>
  <c r="BP21" i="3"/>
  <c r="BJ21" i="3"/>
  <c r="BD25" i="3" a="1"/>
  <c r="BD25" i="3"/>
  <c r="BJ25" i="3"/>
  <c r="BD24" i="3" a="1"/>
  <c r="BD24" i="3"/>
  <c r="BL22" i="3"/>
  <c r="BE6" i="3" a="1"/>
  <c r="BE6" i="3"/>
  <c r="BC6" i="3"/>
  <c r="BF17" i="3" a="1"/>
  <c r="BF17" i="3"/>
  <c r="BD32" i="3" a="1"/>
  <c r="BD32" i="3"/>
  <c r="BC32" i="3"/>
  <c r="BG16" i="3" a="1"/>
  <c r="BG16" i="3"/>
  <c r="BC16" i="3"/>
  <c r="BE33" i="3" a="1"/>
  <c r="BE33" i="3"/>
  <c r="BK33" i="3"/>
  <c r="BK29" i="3"/>
  <c r="BQ29" i="3"/>
  <c r="BE30" i="3" a="1"/>
  <c r="BE30" i="3"/>
  <c r="V6" i="32"/>
  <c r="V16" i="32"/>
  <c r="V15" i="32"/>
  <c r="C6" i="32" a="1"/>
  <c r="C6" i="32"/>
  <c r="F6" i="3"/>
  <c r="C39" i="32" a="1"/>
  <c r="C39" i="32"/>
  <c r="F39" i="3"/>
  <c r="C21" i="32" a="1"/>
  <c r="C21" i="32"/>
  <c r="F21" i="3"/>
  <c r="C5" i="32" a="1"/>
  <c r="C5" i="32"/>
  <c r="F5" i="3"/>
  <c r="C50" i="32" a="1"/>
  <c r="C50" i="32"/>
  <c r="F53" i="3"/>
  <c r="C47" i="32" a="1"/>
  <c r="C47" i="32"/>
  <c r="G49" i="3"/>
  <c r="C28" i="32" a="1"/>
  <c r="C28" i="32"/>
  <c r="G28" i="3"/>
  <c r="C12" i="32" a="1"/>
  <c r="C12" i="32"/>
  <c r="F12" i="3"/>
  <c r="C25" i="32" a="1"/>
  <c r="C25" i="32"/>
  <c r="F25" i="3"/>
  <c r="C9" i="32" a="1"/>
  <c r="C9" i="32"/>
  <c r="F9" i="3"/>
  <c r="C43" i="32" a="1"/>
  <c r="C43" i="32"/>
  <c r="F44" i="3"/>
  <c r="BI8" i="3"/>
  <c r="BC8" i="3"/>
  <c r="BI33" i="3"/>
  <c r="BI14" i="3"/>
  <c r="BC30" i="3"/>
  <c r="BC31" i="3"/>
  <c r="BC33" i="3"/>
  <c r="BC23" i="3"/>
  <c r="BC17" i="3"/>
  <c r="BC24" i="3"/>
  <c r="BC25" i="3"/>
  <c r="BC14" i="3"/>
  <c r="BI9" i="3"/>
  <c r="BC9" i="3"/>
  <c r="G8" i="3"/>
  <c r="F38" i="3"/>
  <c r="G40" i="3"/>
  <c r="F13" i="3"/>
  <c r="G16" i="3"/>
  <c r="F23" i="3"/>
  <c r="F14" i="3"/>
  <c r="F33" i="3"/>
  <c r="G15" i="3"/>
  <c r="G32" i="3"/>
  <c r="G29" i="3"/>
  <c r="G31" i="3"/>
  <c r="F17" i="3"/>
  <c r="F24" i="3"/>
  <c r="G24" i="3"/>
  <c r="G4" i="3"/>
  <c r="F45" i="3"/>
  <c r="G37" i="3"/>
  <c r="F20" i="3"/>
  <c r="G20" i="3"/>
  <c r="G30" i="3"/>
  <c r="F7" i="3"/>
  <c r="G7" i="3"/>
  <c r="F22" i="3"/>
  <c r="G22" i="3"/>
  <c r="BJ17" i="3"/>
  <c r="BK6" i="3"/>
  <c r="BJ16" i="3"/>
  <c r="BL17" i="3"/>
  <c r="BJ15" i="3"/>
  <c r="BJ23" i="3"/>
  <c r="BK17" i="3"/>
  <c r="BM30" i="3"/>
  <c r="BL6" i="3"/>
  <c r="BL30" i="3"/>
  <c r="BJ32" i="3"/>
  <c r="BL7" i="3"/>
  <c r="BR14" i="3" a="1"/>
  <c r="BR14" i="3"/>
  <c r="BR15" i="3" a="1"/>
  <c r="BR15" i="3"/>
  <c r="BR17" i="3" a="1"/>
  <c r="BR17" i="3"/>
  <c r="BQ33" i="3" a="1"/>
  <c r="BQ33" i="3"/>
  <c r="BQ32" i="3" a="1"/>
  <c r="BQ32" i="3"/>
  <c r="BQ30" i="3" a="1"/>
  <c r="BQ30" i="3"/>
  <c r="BM15" i="3"/>
  <c r="BK32" i="3"/>
  <c r="BJ31" i="3"/>
  <c r="BK30" i="3"/>
  <c r="BL23" i="3"/>
  <c r="BM31" i="3"/>
  <c r="BM6" i="3"/>
  <c r="BP31" i="3" a="1"/>
  <c r="BP31" i="3"/>
  <c r="BP32" i="3" a="1"/>
  <c r="BP32" i="3"/>
  <c r="BP33" i="3" a="1"/>
  <c r="BP33" i="3"/>
  <c r="BS16" i="3" a="1"/>
  <c r="BS16" i="3"/>
  <c r="BS14" i="3" a="1"/>
  <c r="BS14" i="3"/>
  <c r="BS15" i="3" a="1"/>
  <c r="BS15" i="3"/>
  <c r="BM7" i="3"/>
  <c r="BP24" i="3" a="1"/>
  <c r="BP24" i="3"/>
  <c r="BP25" i="3" a="1"/>
  <c r="BP25" i="3"/>
  <c r="BP23" i="3" a="1"/>
  <c r="BP23" i="3"/>
  <c r="BO23" i="3"/>
  <c r="BP8" i="3" a="1"/>
  <c r="BP8" i="3"/>
  <c r="BP9" i="3" a="1"/>
  <c r="BP9" i="3"/>
  <c r="BP7" i="3" a="1"/>
  <c r="BP7" i="3"/>
  <c r="BO7" i="3"/>
  <c r="BM23" i="3"/>
  <c r="BK25" i="3"/>
  <c r="BI25" i="3"/>
  <c r="BR33" i="3" a="1"/>
  <c r="BR33" i="3"/>
  <c r="BR31" i="3" a="1"/>
  <c r="BR31" i="3"/>
  <c r="BR30" i="3" a="1"/>
  <c r="BR30" i="3"/>
  <c r="BM22" i="3"/>
  <c r="BI22" i="3"/>
  <c r="BJ7" i="3"/>
  <c r="BM16" i="3"/>
  <c r="BJ24" i="3"/>
  <c r="BI24" i="3"/>
  <c r="BQ17" i="3" a="1"/>
  <c r="BQ17" i="3"/>
  <c r="BQ16" i="3" a="1"/>
  <c r="BQ16" i="3"/>
  <c r="BQ14" i="3" a="1"/>
  <c r="BQ14" i="3"/>
  <c r="BQ6" i="3" a="1"/>
  <c r="BQ6" i="3"/>
  <c r="BO6" i="3"/>
  <c r="BQ8" i="3" a="1"/>
  <c r="BQ8" i="3"/>
  <c r="BQ9" i="3" a="1"/>
  <c r="BQ9" i="3"/>
  <c r="BQ24" i="3" a="1"/>
  <c r="BQ24" i="3"/>
  <c r="BQ22" i="3" a="1"/>
  <c r="BQ22" i="3"/>
  <c r="BO22" i="3"/>
  <c r="BQ25" i="3" a="1"/>
  <c r="BQ25" i="3"/>
  <c r="BM32" i="3"/>
  <c r="G39" i="3"/>
  <c r="G53" i="3"/>
  <c r="G44" i="3"/>
  <c r="G25" i="3"/>
  <c r="F28" i="3"/>
  <c r="G21" i="3"/>
  <c r="G12" i="3"/>
  <c r="F49" i="3"/>
  <c r="G9" i="3"/>
  <c r="G6" i="3"/>
  <c r="G5" i="3"/>
  <c r="BO9" i="3"/>
  <c r="BO31" i="3"/>
  <c r="BI16" i="3"/>
  <c r="BI30" i="3"/>
  <c r="BO8" i="3"/>
  <c r="BI32" i="3"/>
  <c r="BO32" i="3"/>
  <c r="BO33" i="3"/>
  <c r="BO30" i="3"/>
  <c r="BO25" i="3"/>
  <c r="BO24" i="3"/>
  <c r="BI31" i="3"/>
  <c r="BO16" i="3"/>
  <c r="BO15" i="3"/>
  <c r="BO14" i="3"/>
  <c r="BO17" i="3"/>
  <c r="BI15" i="3"/>
  <c r="BI23" i="3"/>
  <c r="BH25" i="3"/>
  <c r="BI17" i="3"/>
  <c r="BI6" i="3"/>
  <c r="BI7" i="3"/>
  <c r="BB22" i="3"/>
  <c r="BB17" i="3"/>
  <c r="BB6" i="3"/>
  <c r="BB23" i="3"/>
  <c r="BB7" i="3"/>
  <c r="BB32" i="3"/>
  <c r="BB31" i="3"/>
  <c r="BB14" i="3"/>
  <c r="BB33" i="3"/>
  <c r="BB24" i="3"/>
  <c r="BB16" i="3"/>
  <c r="BB25" i="3"/>
  <c r="BB15" i="3"/>
  <c r="BB8" i="3"/>
  <c r="BB30" i="3"/>
  <c r="BB9" i="3"/>
  <c r="BH7" i="3"/>
  <c r="BN7" i="3"/>
  <c r="BN8" i="3"/>
  <c r="BN9" i="3"/>
  <c r="BN6" i="3"/>
  <c r="BN24" i="3"/>
  <c r="BH16" i="3"/>
  <c r="BN33" i="3"/>
  <c r="BN31" i="3"/>
  <c r="BH32" i="3"/>
  <c r="BH30" i="3"/>
  <c r="BH31" i="3"/>
  <c r="BN30" i="3"/>
  <c r="BN32" i="3"/>
  <c r="BH15" i="3"/>
  <c r="BH33" i="3"/>
  <c r="BH17" i="3"/>
  <c r="BH14" i="3"/>
  <c r="BH9" i="3"/>
  <c r="BN14" i="3"/>
  <c r="BN15" i="3"/>
  <c r="BN17" i="3"/>
  <c r="BN16" i="3"/>
  <c r="BH22" i="3"/>
  <c r="BH6" i="3"/>
  <c r="BH8" i="3"/>
  <c r="BH23" i="3"/>
  <c r="BH24" i="3"/>
  <c r="BN23" i="3"/>
  <c r="BN22" i="3"/>
  <c r="BN25" i="3"/>
  <c r="BA25" i="3"/>
  <c r="CE25" i="3"/>
  <c r="BW25" i="3"/>
  <c r="AR25" i="3"/>
  <c r="CF25" i="3"/>
  <c r="BA33" i="3"/>
  <c r="BA23" i="3"/>
  <c r="BA8" i="3"/>
  <c r="BA30" i="3"/>
  <c r="BA14" i="3"/>
  <c r="BA32" i="3"/>
  <c r="BA31" i="3"/>
  <c r="BA15" i="3"/>
  <c r="BA17" i="3"/>
  <c r="BA24" i="3"/>
  <c r="BA22" i="3"/>
  <c r="BA16" i="3"/>
  <c r="BA9" i="3"/>
  <c r="BA6" i="3"/>
  <c r="BA7" i="3"/>
  <c r="CE30" i="3"/>
  <c r="BW30" i="3"/>
  <c r="CF30" i="3"/>
  <c r="AR30" i="3"/>
  <c r="CF33" i="3"/>
  <c r="CE33" i="3"/>
  <c r="BW33" i="3"/>
  <c r="AR33" i="3"/>
  <c r="CE31" i="3"/>
  <c r="CF31" i="3"/>
  <c r="AR31" i="3"/>
  <c r="BW31" i="3"/>
  <c r="CF32" i="3"/>
  <c r="BW32" i="3"/>
  <c r="CE32" i="3"/>
  <c r="AR32" i="3"/>
  <c r="AR23" i="3"/>
  <c r="CF23" i="3"/>
  <c r="CE23" i="3"/>
  <c r="BW23" i="3"/>
  <c r="AR24" i="3"/>
  <c r="CE24" i="3"/>
  <c r="CF24" i="3"/>
  <c r="BW24" i="3"/>
  <c r="AR22" i="3"/>
  <c r="CF22" i="3"/>
  <c r="CE22" i="3"/>
  <c r="BW22" i="3"/>
  <c r="CF14" i="3"/>
  <c r="CE14" i="3"/>
  <c r="AR14" i="3"/>
  <c r="BW14" i="3"/>
  <c r="CE17" i="3"/>
  <c r="AR17" i="3"/>
  <c r="CF17" i="3"/>
  <c r="BW17" i="3"/>
  <c r="AR15" i="3"/>
  <c r="CF15" i="3"/>
  <c r="CE15" i="3"/>
  <c r="BW15" i="3"/>
  <c r="CF16" i="3"/>
  <c r="BW16" i="3"/>
  <c r="CE16" i="3"/>
  <c r="AR16" i="3"/>
  <c r="CE7" i="3"/>
  <c r="BW7" i="3"/>
  <c r="AR7" i="3"/>
  <c r="CF7" i="3"/>
  <c r="CE8" i="3"/>
  <c r="AR8" i="3"/>
  <c r="BW8" i="3"/>
  <c r="CF8" i="3"/>
  <c r="CE6" i="3"/>
  <c r="BW6" i="3"/>
  <c r="CF6" i="3"/>
  <c r="AR6" i="3"/>
  <c r="CE9" i="3"/>
  <c r="BW9" i="3"/>
  <c r="CF9" i="3"/>
  <c r="AR9" i="3"/>
  <c r="AH16" i="3"/>
  <c r="AS16" i="3"/>
  <c r="AH30" i="3"/>
  <c r="AS30" i="3"/>
  <c r="BU30" i="3"/>
  <c r="CC30" i="3"/>
  <c r="CC32" i="3"/>
  <c r="BU33" i="3"/>
  <c r="BU31" i="3"/>
  <c r="CC31" i="3"/>
  <c r="CC33" i="3"/>
  <c r="AH32" i="3"/>
  <c r="AS32" i="3"/>
  <c r="AH33" i="3"/>
  <c r="AS33" i="3"/>
  <c r="AH31" i="3"/>
  <c r="AS31" i="3"/>
  <c r="BU32" i="3"/>
  <c r="CC8" i="3"/>
  <c r="BU8" i="3"/>
  <c r="CC6" i="3"/>
  <c r="CC7" i="3"/>
  <c r="CC16" i="3"/>
  <c r="CC9" i="3"/>
  <c r="BU17" i="3"/>
  <c r="BU16" i="3"/>
  <c r="BU15" i="3"/>
  <c r="BU14" i="3"/>
  <c r="AH9" i="3"/>
  <c r="AS9" i="3"/>
  <c r="AH6" i="3"/>
  <c r="AS6" i="3"/>
  <c r="BU7" i="3"/>
  <c r="CC17" i="3"/>
  <c r="CC14" i="3"/>
  <c r="CC15" i="3"/>
  <c r="BU9" i="3"/>
  <c r="BU6" i="3"/>
  <c r="AH7" i="3"/>
  <c r="AS7" i="3"/>
  <c r="AH8" i="3"/>
  <c r="AS8" i="3"/>
  <c r="AH17" i="3"/>
  <c r="AS17" i="3"/>
  <c r="AH15" i="3"/>
  <c r="AS15" i="3"/>
  <c r="AH14" i="3"/>
  <c r="AH23" i="3"/>
  <c r="AS23" i="3"/>
  <c r="BU23" i="3"/>
  <c r="CC22" i="3"/>
  <c r="AH24" i="3"/>
  <c r="AS24" i="3"/>
  <c r="AH22" i="3"/>
  <c r="AS22" i="3"/>
  <c r="BU25" i="3"/>
  <c r="BU22" i="3"/>
  <c r="AH25" i="3"/>
  <c r="AS25" i="3"/>
  <c r="CC25" i="3"/>
  <c r="CC24" i="3"/>
  <c r="BU24" i="3"/>
  <c r="CC23" i="3"/>
  <c r="BX30" i="3"/>
  <c r="BY30" i="3"/>
  <c r="CH30" i="3"/>
  <c r="CH31" i="3"/>
  <c r="CI6" i="3"/>
  <c r="CI14" i="3"/>
  <c r="CI32" i="3"/>
  <c r="CI30" i="3"/>
  <c r="CH33" i="3"/>
  <c r="CH32" i="3"/>
  <c r="CI33" i="3"/>
  <c r="CI31" i="3"/>
  <c r="CI7" i="3"/>
  <c r="BX32" i="3"/>
  <c r="BY32" i="3"/>
  <c r="BX31" i="3"/>
  <c r="BY31" i="3"/>
  <c r="BX33" i="3"/>
  <c r="BY33" i="3"/>
  <c r="CH8" i="3"/>
  <c r="CH6" i="3"/>
  <c r="CH7" i="3"/>
  <c r="CI8" i="3"/>
  <c r="CH9" i="3"/>
  <c r="CI9" i="3"/>
  <c r="BX16" i="3"/>
  <c r="BY16" i="3"/>
  <c r="BX14" i="3"/>
  <c r="BY14" i="3"/>
  <c r="BX6" i="3"/>
  <c r="BY6" i="3"/>
  <c r="CH15" i="3"/>
  <c r="CI16" i="3"/>
  <c r="CH16" i="3"/>
  <c r="CH14" i="3"/>
  <c r="AS14" i="3"/>
  <c r="CI15" i="3"/>
  <c r="BX15" i="3"/>
  <c r="BY15" i="3"/>
  <c r="BX9" i="3"/>
  <c r="BY9" i="3"/>
  <c r="BX8" i="3"/>
  <c r="BY8" i="3"/>
  <c r="CI17" i="3"/>
  <c r="CH17" i="3"/>
  <c r="BX17" i="3"/>
  <c r="BY17" i="3"/>
  <c r="BX7" i="3"/>
  <c r="BY7" i="3"/>
  <c r="CI22" i="3"/>
  <c r="CH22" i="3"/>
  <c r="BX22" i="3"/>
  <c r="BY22" i="3"/>
  <c r="BX23" i="3"/>
  <c r="BY23" i="3"/>
  <c r="BX24" i="3"/>
  <c r="BY24" i="3"/>
  <c r="CI23" i="3"/>
  <c r="BX25" i="3"/>
  <c r="BY25" i="3"/>
  <c r="CI25" i="3"/>
  <c r="CH24" i="3"/>
  <c r="CI24" i="3"/>
  <c r="CH23" i="3"/>
  <c r="CH25" i="3"/>
  <c r="CJ31" i="3"/>
  <c r="CJ33" i="3"/>
  <c r="CJ32" i="3"/>
  <c r="CJ30" i="3"/>
  <c r="AA33" i="3"/>
  <c r="AB33" i="3"/>
  <c r="AA32" i="3"/>
  <c r="AB32" i="3"/>
  <c r="AA30" i="3"/>
  <c r="AB30" i="3"/>
  <c r="AA31" i="3"/>
  <c r="AB31" i="3"/>
  <c r="CJ7" i="3"/>
  <c r="CJ6" i="3"/>
  <c r="CJ8" i="3"/>
  <c r="CJ9" i="3"/>
  <c r="AA17" i="3"/>
  <c r="AB17" i="3"/>
  <c r="AA15" i="3"/>
  <c r="AB15" i="3"/>
  <c r="CJ16" i="3"/>
  <c r="AA9" i="3"/>
  <c r="AB9" i="3"/>
  <c r="AA14" i="3"/>
  <c r="AB14" i="3"/>
  <c r="AA8" i="3"/>
  <c r="AB8" i="3"/>
  <c r="CJ15" i="3"/>
  <c r="CJ17" i="3"/>
  <c r="CJ14" i="3"/>
  <c r="AA16" i="3"/>
  <c r="AB16" i="3"/>
  <c r="AA7" i="3"/>
  <c r="AB7" i="3"/>
  <c r="AA6" i="3"/>
  <c r="AB6" i="3"/>
  <c r="AA22" i="3"/>
  <c r="AB22" i="3"/>
  <c r="AA23" i="3"/>
  <c r="AB23" i="3"/>
  <c r="AA24" i="3"/>
  <c r="AB24" i="3"/>
  <c r="AA25" i="3"/>
  <c r="AB25" i="3"/>
  <c r="CJ25" i="3"/>
  <c r="CJ24" i="3"/>
  <c r="CJ23" i="3"/>
  <c r="CJ22" i="3"/>
  <c r="AU30" i="3"/>
  <c r="AA29" i="3"/>
  <c r="AB28" i="3"/>
  <c r="CK30" i="3"/>
  <c r="CL30" i="3"/>
  <c r="CN31" i="3"/>
  <c r="CQ30" i="3" a="1"/>
  <c r="CQ30" i="3"/>
  <c r="AU33" i="3"/>
  <c r="AU32" i="3"/>
  <c r="AU31" i="3"/>
  <c r="CK6" i="3"/>
  <c r="CL6" i="3"/>
  <c r="CN9" i="3"/>
  <c r="CS6" i="3" a="1"/>
  <c r="CS6" i="3"/>
  <c r="AU14" i="3"/>
  <c r="CK14" i="3"/>
  <c r="CL14" i="3"/>
  <c r="CN14" i="3"/>
  <c r="CP14" i="3" a="1"/>
  <c r="CP14" i="3"/>
  <c r="AU16" i="3"/>
  <c r="AU15" i="3"/>
  <c r="AU17" i="3"/>
  <c r="AA5" i="3"/>
  <c r="AB4" i="3"/>
  <c r="AA13" i="3"/>
  <c r="AB12" i="3"/>
  <c r="AA21" i="3"/>
  <c r="AB20" i="3"/>
  <c r="CK22" i="3"/>
  <c r="CL22" i="3"/>
  <c r="CN22" i="3"/>
  <c r="CP22" i="3" a="1"/>
  <c r="CP22" i="3"/>
  <c r="AU24" i="3"/>
  <c r="AU22" i="3"/>
  <c r="AU25" i="3"/>
  <c r="AU23" i="3"/>
  <c r="AU9" i="3"/>
  <c r="AU7" i="3"/>
  <c r="AU8" i="3"/>
  <c r="AU6" i="3"/>
  <c r="CN33" i="3"/>
  <c r="CS30" i="3" a="1"/>
  <c r="CS30" i="3"/>
  <c r="CN30" i="3"/>
  <c r="CP30" i="3" a="1"/>
  <c r="CP30" i="3"/>
  <c r="CN32" i="3"/>
  <c r="CR30" i="3" a="1"/>
  <c r="CR30" i="3"/>
  <c r="AG33" i="3"/>
  <c r="AG31" i="3"/>
  <c r="AG32" i="3"/>
  <c r="AG30" i="3"/>
  <c r="CN7" i="3"/>
  <c r="CQ6" i="3" a="1"/>
  <c r="CQ6" i="3"/>
  <c r="CN8" i="3"/>
  <c r="CR6" i="3" a="1"/>
  <c r="CR6" i="3"/>
  <c r="CN6" i="3"/>
  <c r="CP6" i="3" a="1"/>
  <c r="CP6" i="3"/>
  <c r="CN17" i="3"/>
  <c r="CS14" i="3" a="1"/>
  <c r="CS14" i="3"/>
  <c r="CN15" i="3"/>
  <c r="CQ14" i="3" a="1"/>
  <c r="CQ14" i="3"/>
  <c r="CN16" i="3"/>
  <c r="CR14" i="3" a="1"/>
  <c r="CR14" i="3"/>
  <c r="AG15" i="3"/>
  <c r="AG16" i="3"/>
  <c r="AG17" i="3"/>
  <c r="AG14" i="3"/>
  <c r="CN25" i="3"/>
  <c r="CS22" i="3" a="1"/>
  <c r="CS22" i="3"/>
  <c r="CN24" i="3"/>
  <c r="CR22" i="3" a="1"/>
  <c r="CR22" i="3"/>
  <c r="CN23" i="3"/>
  <c r="CQ22" i="3" a="1"/>
  <c r="CQ22" i="3"/>
  <c r="AG24" i="3"/>
  <c r="AG8" i="3"/>
  <c r="AG6" i="3"/>
  <c r="AG7" i="3"/>
  <c r="AG9" i="3"/>
  <c r="AG23" i="3"/>
  <c r="AG25" i="3"/>
  <c r="AG22" i="3"/>
  <c r="I39" i="3"/>
  <c r="N45" i="3"/>
  <c r="I37" i="3"/>
  <c r="I44" i="3"/>
  <c r="N38" i="3"/>
  <c r="N39" i="3"/>
  <c r="AF15" i="35"/>
  <c r="I40" i="3"/>
  <c r="I38" i="3"/>
  <c r="N44" i="3"/>
  <c r="R33" i="3"/>
  <c r="V33" i="3"/>
  <c r="R30" i="3"/>
  <c r="U30" i="3"/>
  <c r="R31" i="3"/>
  <c r="V31" i="3"/>
  <c r="N40" i="3"/>
  <c r="C57" i="31"/>
  <c r="R32" i="3"/>
  <c r="X32" i="3"/>
  <c r="AR14" i="35"/>
  <c r="N37" i="3"/>
  <c r="N6" i="35"/>
  <c r="R16" i="3"/>
  <c r="Z16" i="3"/>
  <c r="K14" i="35"/>
  <c r="R14" i="3"/>
  <c r="Y14" i="3"/>
  <c r="R15" i="3"/>
  <c r="U15" i="3"/>
  <c r="R17" i="3"/>
  <c r="S17" i="3"/>
  <c r="I15" i="35"/>
  <c r="R22" i="3"/>
  <c r="R25" i="3"/>
  <c r="R23" i="3"/>
  <c r="R24" i="3"/>
  <c r="R7" i="3"/>
  <c r="R9" i="3"/>
  <c r="R6" i="3"/>
  <c r="R8" i="3"/>
  <c r="O39" i="3"/>
  <c r="N49" i="3"/>
  <c r="O38" i="3"/>
  <c r="I49" i="3"/>
  <c r="O37" i="3"/>
  <c r="I53" i="3"/>
  <c r="O44" i="3"/>
  <c r="C53" i="31"/>
  <c r="I45" i="3"/>
  <c r="C56" i="31"/>
  <c r="AF5" i="35"/>
  <c r="X33" i="3"/>
  <c r="AR15" i="35"/>
  <c r="Z33" i="3"/>
  <c r="AQ15" i="35"/>
  <c r="U33" i="3"/>
  <c r="W33" i="3"/>
  <c r="Y33" i="3"/>
  <c r="S33" i="3"/>
  <c r="AO15" i="35"/>
  <c r="AN15" i="35"/>
  <c r="T33" i="3"/>
  <c r="AP15" i="35"/>
  <c r="C63" i="31"/>
  <c r="Y30" i="3"/>
  <c r="T30" i="3"/>
  <c r="AP12" i="35"/>
  <c r="Y31" i="3"/>
  <c r="Z31" i="3"/>
  <c r="AQ13" i="35"/>
  <c r="X30" i="3"/>
  <c r="AR12" i="35"/>
  <c r="S30" i="3"/>
  <c r="AO12" i="35"/>
  <c r="V30" i="3"/>
  <c r="S32" i="3"/>
  <c r="AO14" i="35"/>
  <c r="AN14" i="35"/>
  <c r="U32" i="3"/>
  <c r="U31" i="3"/>
  <c r="S31" i="3"/>
  <c r="AO13" i="35"/>
  <c r="AN13" i="35"/>
  <c r="X31" i="3"/>
  <c r="AR13" i="35"/>
  <c r="W30" i="3"/>
  <c r="AN12" i="35"/>
  <c r="W31" i="3"/>
  <c r="T31" i="3"/>
  <c r="AP13" i="35"/>
  <c r="B63" i="31"/>
  <c r="H14" i="35"/>
  <c r="Z30" i="3"/>
  <c r="AQ12" i="35"/>
  <c r="AF6" i="35"/>
  <c r="T32" i="3"/>
  <c r="AP14" i="35"/>
  <c r="Y32" i="3"/>
  <c r="Z32" i="3"/>
  <c r="AQ14" i="35"/>
  <c r="W32" i="3"/>
  <c r="V32" i="3"/>
  <c r="X16" i="3"/>
  <c r="L14" i="35"/>
  <c r="S16" i="3"/>
  <c r="I14" i="35"/>
  <c r="C54" i="31"/>
  <c r="U16" i="3"/>
  <c r="W16" i="3"/>
  <c r="Z14" i="3"/>
  <c r="K12" i="35"/>
  <c r="V14" i="3"/>
  <c r="W14" i="3"/>
  <c r="T14" i="3"/>
  <c r="J12" i="35"/>
  <c r="X14" i="3"/>
  <c r="L12" i="35"/>
  <c r="U14" i="3"/>
  <c r="X15" i="3"/>
  <c r="L13" i="35"/>
  <c r="Z15" i="3"/>
  <c r="K13" i="35"/>
  <c r="H13" i="35"/>
  <c r="T15" i="3"/>
  <c r="J13" i="35"/>
  <c r="V15" i="3"/>
  <c r="V16" i="3"/>
  <c r="AB9" i="35"/>
  <c r="T16" i="3"/>
  <c r="J14" i="35"/>
  <c r="Y16" i="3"/>
  <c r="H12" i="35"/>
  <c r="S14" i="3"/>
  <c r="I12" i="35"/>
  <c r="S15" i="3"/>
  <c r="I13" i="35"/>
  <c r="X17" i="3"/>
  <c r="L15" i="35"/>
  <c r="U17" i="3"/>
  <c r="W15" i="3"/>
  <c r="Y15" i="3"/>
  <c r="H15" i="35"/>
  <c r="T17" i="3"/>
  <c r="J15" i="35"/>
  <c r="Z17" i="3"/>
  <c r="K15" i="35"/>
  <c r="W17" i="3"/>
  <c r="V17" i="3"/>
  <c r="Y17" i="3"/>
  <c r="C51" i="31"/>
  <c r="N13" i="35"/>
  <c r="B61" i="31"/>
  <c r="C61" i="31"/>
  <c r="B62" i="31"/>
  <c r="C52" i="31"/>
  <c r="AF14" i="35"/>
  <c r="C62" i="31"/>
  <c r="V9" i="3"/>
  <c r="Z9" i="3"/>
  <c r="K7" i="35"/>
  <c r="W9" i="3"/>
  <c r="X9" i="3"/>
  <c r="L7" i="35"/>
  <c r="H7" i="35"/>
  <c r="Y9" i="3"/>
  <c r="U9" i="3"/>
  <c r="S9" i="3"/>
  <c r="I7" i="35"/>
  <c r="T9" i="3"/>
  <c r="J7" i="35"/>
  <c r="AN6" i="35"/>
  <c r="T24" i="3"/>
  <c r="AP6" i="35"/>
  <c r="V24" i="3"/>
  <c r="Y24" i="3"/>
  <c r="W24" i="3"/>
  <c r="X24" i="3"/>
  <c r="AR6" i="35"/>
  <c r="U24" i="3"/>
  <c r="Z24" i="3"/>
  <c r="AQ6" i="35"/>
  <c r="S24" i="3"/>
  <c r="AO6" i="35"/>
  <c r="Z7" i="3"/>
  <c r="K5" i="35"/>
  <c r="H5" i="35"/>
  <c r="X7" i="3"/>
  <c r="L5" i="35"/>
  <c r="T7" i="3"/>
  <c r="J5" i="35"/>
  <c r="V7" i="3"/>
  <c r="S7" i="3"/>
  <c r="I5" i="35"/>
  <c r="U7" i="3"/>
  <c r="W7" i="3"/>
  <c r="Y7" i="3"/>
  <c r="V23" i="3"/>
  <c r="AN5" i="35"/>
  <c r="T23" i="3"/>
  <c r="AP5" i="35"/>
  <c r="W23" i="3"/>
  <c r="U23" i="3"/>
  <c r="S23" i="3"/>
  <c r="AO5" i="35"/>
  <c r="Y23" i="3"/>
  <c r="Z23" i="3"/>
  <c r="AQ5" i="35"/>
  <c r="X23" i="3"/>
  <c r="AR5" i="35"/>
  <c r="C55" i="31"/>
  <c r="N14" i="35"/>
  <c r="S8" i="3"/>
  <c r="I6" i="35"/>
  <c r="Y8" i="3"/>
  <c r="T8" i="3"/>
  <c r="J6" i="35"/>
  <c r="Z8" i="3"/>
  <c r="K6" i="35"/>
  <c r="U8" i="3"/>
  <c r="V8" i="3"/>
  <c r="X8" i="3"/>
  <c r="L6" i="35"/>
  <c r="W8" i="3"/>
  <c r="H6" i="35"/>
  <c r="U22" i="3"/>
  <c r="V22" i="3"/>
  <c r="S22" i="3"/>
  <c r="AO4" i="35"/>
  <c r="X22" i="3"/>
  <c r="AR4" i="35"/>
  <c r="Y22" i="3"/>
  <c r="W22" i="3"/>
  <c r="T22" i="3"/>
  <c r="AN4" i="35"/>
  <c r="Z22" i="3"/>
  <c r="AQ4" i="35"/>
  <c r="Z6" i="3"/>
  <c r="K4" i="35"/>
  <c r="W6" i="3"/>
  <c r="S6" i="3"/>
  <c r="I4" i="35"/>
  <c r="Y6" i="3"/>
  <c r="V6" i="3"/>
  <c r="U6" i="3"/>
  <c r="X6" i="3"/>
  <c r="L4" i="35"/>
  <c r="H4" i="35"/>
  <c r="T6" i="3"/>
  <c r="Y25" i="3"/>
  <c r="T25" i="3"/>
  <c r="AP7" i="35"/>
  <c r="S25" i="3"/>
  <c r="AO7" i="35"/>
  <c r="AN7" i="35"/>
  <c r="V25" i="3"/>
  <c r="U25" i="3"/>
  <c r="W25" i="3"/>
  <c r="Z25" i="3"/>
  <c r="AQ7" i="35"/>
  <c r="X25" i="3"/>
  <c r="AR7" i="35"/>
  <c r="C50" i="31"/>
  <c r="B60" i="31"/>
  <c r="N5" i="35"/>
  <c r="C60" i="31"/>
  <c r="O40" i="3"/>
  <c r="N53" i="3"/>
  <c r="O45" i="3"/>
  <c r="C67" i="31"/>
  <c r="C77" i="31"/>
  <c r="V6" i="35"/>
  <c r="C47" i="31"/>
  <c r="C45" i="31"/>
  <c r="C46" i="31"/>
  <c r="C44" i="31"/>
  <c r="C36" i="31"/>
  <c r="C37" i="31"/>
  <c r="C39" i="31"/>
  <c r="C38" i="31"/>
  <c r="J4" i="35"/>
  <c r="C34" i="31"/>
  <c r="C35" i="31"/>
  <c r="C33" i="31"/>
  <c r="C32" i="31"/>
  <c r="AP4" i="35"/>
  <c r="C43" i="31"/>
  <c r="C41" i="31"/>
  <c r="C40" i="31"/>
  <c r="C42" i="31"/>
  <c r="C68" i="31"/>
  <c r="R10" i="35"/>
  <c r="B73" i="31"/>
  <c r="C69" i="31"/>
  <c r="C73" i="31"/>
  <c r="AB10" i="35"/>
  <c r="C72" i="31"/>
  <c r="C66" i="31"/>
  <c r="B72" i="31"/>
  <c r="R9" i="35"/>
  <c r="I58" i="3"/>
  <c r="O49" i="3"/>
  <c r="O58" i="3"/>
  <c r="B87" i="31"/>
  <c r="I57" i="3"/>
  <c r="C81" i="31"/>
  <c r="V10" i="35"/>
  <c r="V5" i="35"/>
  <c r="C76" i="31"/>
  <c r="B84" i="31"/>
  <c r="C84" i="31"/>
  <c r="I56" i="3"/>
  <c r="C80" i="31"/>
  <c r="V9" i="35"/>
  <c r="C87" i="31"/>
  <c r="W14" i="35"/>
  <c r="O53" i="3"/>
  <c r="C90" i="31"/>
  <c r="O56" i="3"/>
  <c r="O57" i="3"/>
  <c r="C91" i="31"/>
  <c r="X15" i="35"/>
  <c r="C92" i="31"/>
  <c r="V16" i="35"/>
  <c r="Z25" i="35"/>
  <c r="Z27" i="35"/>
  <c r="Z29" i="35"/>
  <c r="Z31" i="35"/>
  <c r="Z33" i="35"/>
  <c r="Z35" i="35"/>
  <c r="Z37" i="35"/>
  <c r="Z39" i="35"/>
  <c r="Z26" i="35"/>
  <c r="Z28" i="35"/>
  <c r="Z30" i="35"/>
  <c r="Z32" i="35"/>
  <c r="Z34" i="35"/>
  <c r="Z36" i="35"/>
  <c r="Z38" i="35"/>
  <c r="AD29" i="35"/>
  <c r="AD37" i="35"/>
  <c r="AD25" i="35"/>
  <c r="AD27" i="35"/>
  <c r="AD33" i="35"/>
  <c r="AD39" i="35"/>
  <c r="AD26" i="35"/>
  <c r="AD28" i="35"/>
  <c r="AD30" i="35"/>
  <c r="AD32" i="35"/>
  <c r="AD34" i="35"/>
  <c r="AD36" i="35"/>
  <c r="AD38" i="35"/>
  <c r="AD31" i="35"/>
  <c r="AD35" i="35"/>
  <c r="AH25" i="35"/>
  <c r="AH27" i="35"/>
  <c r="AH29" i="35"/>
  <c r="AH31" i="35"/>
  <c r="AH33" i="35"/>
  <c r="AH35" i="35"/>
  <c r="AH37" i="35"/>
  <c r="AH39" i="35"/>
  <c r="AH26" i="35"/>
  <c r="AH28" i="35"/>
  <c r="AH30" i="35"/>
  <c r="AH32" i="35"/>
  <c r="AH34" i="35"/>
  <c r="AH36" i="35"/>
  <c r="AH38" i="35"/>
  <c r="Z24" i="35"/>
  <c r="AD24" i="35"/>
  <c r="AH24" i="35"/>
  <c r="Q56" i="3"/>
  <c r="Q59" i="3"/>
  <c r="V39" i="35"/>
  <c r="R39" i="35"/>
  <c r="V38" i="35"/>
  <c r="R38" i="35"/>
  <c r="V37" i="35"/>
  <c r="R37" i="35"/>
  <c r="V36" i="35"/>
  <c r="R36" i="35"/>
  <c r="V35" i="35"/>
  <c r="R35" i="35"/>
  <c r="V34" i="35"/>
  <c r="R34" i="35"/>
  <c r="V33" i="35"/>
  <c r="R33" i="35"/>
  <c r="V32" i="35"/>
  <c r="R32" i="35"/>
  <c r="V31" i="35"/>
  <c r="R31" i="35"/>
  <c r="V30" i="35"/>
  <c r="R30" i="35"/>
  <c r="V29" i="35"/>
  <c r="R29" i="35"/>
  <c r="V28" i="35"/>
  <c r="R28" i="35"/>
  <c r="V27" i="35"/>
  <c r="R27" i="35"/>
  <c r="V26" i="35"/>
  <c r="R26" i="35"/>
  <c r="V25" i="35"/>
  <c r="R25" i="35"/>
  <c r="V24" i="35"/>
  <c r="R24" i="35"/>
  <c r="N39" i="35"/>
  <c r="N25" i="35"/>
  <c r="N33" i="35"/>
  <c r="N26" i="35"/>
  <c r="N34" i="35"/>
  <c r="N27" i="35"/>
  <c r="N35" i="35"/>
  <c r="N30" i="35"/>
  <c r="N38" i="35"/>
  <c r="N28" i="35"/>
  <c r="N36" i="35"/>
  <c r="N29" i="35"/>
  <c r="N37" i="35"/>
  <c r="N31" i="35"/>
  <c r="N32" i="35"/>
  <c r="N24" i="35"/>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2">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futureMetadata>
  <cellMetadata count="1">
    <bk>
      <rc t="1" v="0"/>
    </bk>
  </cellMetadata>
  <valueMetadata count="12">
    <bk>
      <rc t="2" v="0"/>
    </bk>
    <bk>
      <rc t="2" v="1"/>
    </bk>
    <bk>
      <rc t="2" v="2"/>
    </bk>
    <bk>
      <rc t="2" v="3"/>
    </bk>
    <bk>
      <rc t="2" v="4"/>
    </bk>
    <bk>
      <rc t="2" v="5"/>
    </bk>
    <bk>
      <rc t="2" v="6"/>
    </bk>
    <bk>
      <rc t="2" v="7"/>
    </bk>
    <bk>
      <rc t="2" v="8"/>
    </bk>
    <bk>
      <rc t="2" v="9"/>
    </bk>
    <bk>
      <rc t="2" v="10"/>
    </bk>
    <bk>
      <rc t="2" v="11"/>
    </bk>
  </valueMetadata>
</metadata>
</file>

<file path=xl/sharedStrings.xml><?xml version="1.0" encoding="utf-8"?>
<sst xmlns="http://schemas.openxmlformats.org/spreadsheetml/2006/main" count="1122" uniqueCount="637">
  <si>
    <t>A</t>
  </si>
  <si>
    <t>B</t>
  </si>
  <si>
    <t>C</t>
  </si>
  <si>
    <t>E</t>
  </si>
  <si>
    <t>F</t>
  </si>
  <si>
    <t>Equipo</t>
  </si>
  <si>
    <t>J</t>
  </si>
  <si>
    <t>G</t>
  </si>
  <si>
    <t>P</t>
  </si>
  <si>
    <t>GF</t>
  </si>
  <si>
    <t>GC</t>
  </si>
  <si>
    <t>Dif</t>
  </si>
  <si>
    <t>Fecha</t>
  </si>
  <si>
    <t>Puesto</t>
  </si>
  <si>
    <t>Ptos</t>
  </si>
  <si>
    <t>Rank</t>
  </si>
  <si>
    <t>FASE DE GRUPOS</t>
  </si>
  <si>
    <t>X</t>
  </si>
  <si>
    <t>Pos</t>
  </si>
  <si>
    <t>matejero</t>
  </si>
  <si>
    <t>Rellenar los cuadros grises</t>
  </si>
  <si>
    <t>Casa</t>
  </si>
  <si>
    <t>Fuera</t>
  </si>
  <si>
    <t>Gol</t>
  </si>
  <si>
    <t>AUXILIARES</t>
  </si>
  <si>
    <t>TOPIC</t>
  </si>
  <si>
    <t>VALUE</t>
  </si>
  <si>
    <t>Entre Iguales</t>
  </si>
  <si>
    <t>Diferencia de Goles - Partidos Cruzados</t>
  </si>
  <si>
    <t>Goles - Partidos Cruzados</t>
  </si>
  <si>
    <t>NEquipEqual</t>
  </si>
  <si>
    <t>SIN EMPEZAR</t>
  </si>
  <si>
    <t>Ranking Inv</t>
  </si>
  <si>
    <t>PUNTOS</t>
  </si>
  <si>
    <t>MÁS PUNTOS General</t>
  </si>
  <si>
    <t>TU NOMBRE</t>
  </si>
  <si>
    <t>Campeón</t>
  </si>
  <si>
    <t>Subcampeón</t>
  </si>
  <si>
    <t>BOMBO</t>
  </si>
  <si>
    <t>CUADRO DE HONOR</t>
  </si>
  <si>
    <t>Escribe un jugador</t>
  </si>
  <si>
    <t>NR</t>
  </si>
  <si>
    <t>Inicio</t>
  </si>
  <si>
    <t>1R</t>
  </si>
  <si>
    <t>OP1</t>
  </si>
  <si>
    <t>OP2</t>
  </si>
  <si>
    <t>OP3</t>
  </si>
  <si>
    <t>OP4</t>
  </si>
  <si>
    <t>OP5</t>
  </si>
  <si>
    <t>OP6</t>
  </si>
  <si>
    <t>OP7</t>
  </si>
  <si>
    <t>OP8</t>
  </si>
  <si>
    <t>OP9</t>
  </si>
  <si>
    <t>OP10</t>
  </si>
  <si>
    <t>¡EMPATE! Puedes seleccionar el orden de los empatados.</t>
  </si>
  <si>
    <t>ESCRIBE TU NOMBRE</t>
  </si>
  <si>
    <t>Limitación de responsabilidad:</t>
  </si>
  <si>
    <t>Autor:</t>
  </si>
  <si>
    <t>Miguel Angel Tejero</t>
  </si>
  <si>
    <t>J1</t>
  </si>
  <si>
    <t>J2</t>
  </si>
  <si>
    <t>J3</t>
  </si>
  <si>
    <t>Hora</t>
  </si>
  <si>
    <t>OK</t>
  </si>
  <si>
    <t>NombreEquipo</t>
  </si>
  <si>
    <t>Jor.</t>
  </si>
  <si>
    <t>Pts</t>
  </si>
  <si>
    <t>GRUPOS</t>
  </si>
  <si>
    <t>1/4</t>
  </si>
  <si>
    <t>1/2</t>
  </si>
  <si>
    <t>Semifinales</t>
  </si>
  <si>
    <t>Final</t>
  </si>
  <si>
    <t>GA</t>
  </si>
  <si>
    <t>GB</t>
  </si>
  <si>
    <t>SF</t>
  </si>
  <si>
    <t>Goleador del torneo</t>
  </si>
  <si>
    <t>Mejor jugador del torneo</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</si>
  <si>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</si>
  <si>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</si>
  <si>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</si>
  <si>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</si>
  <si>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</si>
  <si>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</si>
  <si>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</si>
  <si>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</si>
  <si>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</si>
  <si>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</si>
  <si>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</si>
  <si>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</si>
  <si>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</si>
  <si>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</si>
  <si>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</si>
  <si>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</si>
  <si>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</si>
  <si>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</si>
  <si>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</si>
  <si>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</si>
  <si>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</si>
  <si>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</si>
  <si>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</si>
  <si>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</si>
  <si>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</si>
  <si>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</si>
  <si>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</si>
  <si>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</si>
  <si>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</si>
  <si>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Selecciona Horario:</t>
  </si>
  <si>
    <t>Grupo</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</si>
  <si>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el nombre de los equipos). Las formulas, la protección y la estructura no debe ser modificada. El archivo no puede ser revendido a terceros y es de uso exclusivo para el usuario.</t>
  </si>
  <si>
    <t>mat</t>
  </si>
  <si>
    <t>D</t>
  </si>
  <si>
    <t>GD</t>
  </si>
  <si>
    <t>Octavos de final</t>
  </si>
  <si>
    <t>Puntos - Partidos Cruzados</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</si>
  <si>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</si>
  <si>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</si>
  <si>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</si>
  <si>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</si>
  <si>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</si>
  <si>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</si>
  <si>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</si>
  <si>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</si>
  <si>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</si>
  <si>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</si>
  <si>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</si>
  <si>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</si>
  <si>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</si>
  <si>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</si>
  <si>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Octavofinalista</t>
  </si>
  <si>
    <t>ENFRENTAMIENTOS OCTAVOS</t>
  </si>
  <si>
    <t>banderas</t>
  </si>
  <si>
    <t>ce</t>
  </si>
  <si>
    <t>cc</t>
  </si>
  <si>
    <t>cf</t>
  </si>
  <si>
    <t>cg</t>
  </si>
  <si>
    <t>=AR</t>
  </si>
  <si>
    <t>¡EMPATE! Puedes seleccionar el orden de los empatados entre los terceros.</t>
  </si>
  <si>
    <t>A1</t>
  </si>
  <si>
    <t>B1</t>
  </si>
  <si>
    <t>C1</t>
  </si>
  <si>
    <t>D1</t>
  </si>
  <si>
    <t>E1</t>
  </si>
  <si>
    <t>A2</t>
  </si>
  <si>
    <t>B2</t>
  </si>
  <si>
    <t>C2</t>
  </si>
  <si>
    <t>D2</t>
  </si>
  <si>
    <t>A3</t>
  </si>
  <si>
    <t>B3</t>
  </si>
  <si>
    <t>C3</t>
  </si>
  <si>
    <t>D3</t>
  </si>
  <si>
    <t>E3</t>
  </si>
  <si>
    <t>F3</t>
  </si>
  <si>
    <t>·Para los octavos selecciona de la C88 a la C105 y pega valores en la plantilla de administrador.</t>
  </si>
  <si>
    <t>·Si haceis jornada a jornada seguir las instrucciones de cada jornada</t>
  </si>
  <si>
    <t>·Si haceis eliminatoria a eliminatoria seguir las instrucciones de cada eliminatoria.</t>
  </si>
  <si>
    <t>P part</t>
  </si>
  <si>
    <t>DG Part</t>
  </si>
  <si>
    <t>G Part</t>
  </si>
  <si>
    <t>DG X</t>
  </si>
  <si>
    <t>G X</t>
  </si>
  <si>
    <t>https://www.zeitverschiebung.net/es/country/vn</t>
  </si>
  <si>
    <t>UTC</t>
  </si>
  <si>
    <t>Argentina</t>
  </si>
  <si>
    <t>Brasil</t>
  </si>
  <si>
    <t>Ecuador</t>
  </si>
  <si>
    <t>Uruguay</t>
  </si>
  <si>
    <t>México</t>
  </si>
  <si>
    <t>Canadá</t>
  </si>
  <si>
    <t>Costa Rica</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</si>
  <si>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</si>
  <si>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</si>
  <si>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</si>
  <si>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</si>
  <si>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</si>
  <si>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</si>
  <si>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</si>
  <si>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</si>
  <si>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</si>
  <si>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</si>
  <si>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</si>
  <si>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</si>
  <si>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</si>
  <si>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</si>
  <si>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</si>
  <si>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</si>
  <si>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</si>
  <si>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</si>
  <si>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</si>
  <si>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</si>
  <si>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</si>
  <si>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</si>
  <si>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</si>
  <si>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</si>
  <si>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2º</t>
  </si>
  <si>
    <t>1º</t>
  </si>
  <si>
    <t>Equipo (ant)</t>
  </si>
  <si>
    <t>Clas (orden normal)</t>
  </si>
  <si>
    <t>Puesto de siempre inicial</t>
  </si>
  <si>
    <t>RANK de siempre inicial</t>
  </si>
  <si>
    <t>Rank nuevo inicial</t>
  </si>
  <si>
    <t>TEXTO</t>
  </si>
  <si>
    <t>Equipos A</t>
  </si>
  <si>
    <t>Equipos B</t>
  </si>
  <si>
    <t>Equipos C</t>
  </si>
  <si>
    <t>Equipos D</t>
  </si>
  <si>
    <t>HOJA</t>
  </si>
  <si>
    <t>Introducir resultados</t>
  </si>
  <si>
    <t>Celda</t>
  </si>
  <si>
    <t>G4</t>
  </si>
  <si>
    <t>L5</t>
  </si>
  <si>
    <t>I1</t>
  </si>
  <si>
    <t>G3</t>
  </si>
  <si>
    <t>H3</t>
  </si>
  <si>
    <t>I3</t>
  </si>
  <si>
    <t>Hour</t>
  </si>
  <si>
    <t>Inglés</t>
  </si>
  <si>
    <t>R</t>
  </si>
  <si>
    <t>Home</t>
  </si>
  <si>
    <t>Introduce Results</t>
  </si>
  <si>
    <t>Select timetable</t>
  </si>
  <si>
    <t>K3</t>
  </si>
  <si>
    <t>Goal</t>
  </si>
  <si>
    <t>N3</t>
  </si>
  <si>
    <t>Away</t>
  </si>
  <si>
    <t>Q3</t>
  </si>
  <si>
    <t>Group</t>
  </si>
  <si>
    <t>AB3</t>
  </si>
  <si>
    <t>E53</t>
  </si>
  <si>
    <t>E63</t>
  </si>
  <si>
    <t>E74</t>
  </si>
  <si>
    <t>E80</t>
  </si>
  <si>
    <t>E84</t>
  </si>
  <si>
    <t>I88</t>
  </si>
  <si>
    <t>E89</t>
  </si>
  <si>
    <t>E90</t>
  </si>
  <si>
    <t>E93</t>
  </si>
  <si>
    <t>E94</t>
  </si>
  <si>
    <t>I93</t>
  </si>
  <si>
    <t>I94</t>
  </si>
  <si>
    <t>E97</t>
  </si>
  <si>
    <t>I97</t>
  </si>
  <si>
    <t>P52</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</si>
  <si>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</si>
  <si>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</si>
  <si>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</si>
  <si>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</si>
  <si>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</si>
  <si>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</si>
  <si>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</si>
  <si>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</si>
  <si>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</si>
  <si>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</si>
  <si>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</si>
  <si>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</si>
  <si>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</si>
  <si>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</si>
  <si>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</si>
  <si>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</si>
  <si>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</si>
  <si>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</si>
  <si>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YOUR NAME</t>
  </si>
  <si>
    <t>WRITE YOUR NAME</t>
  </si>
  <si>
    <t>INCOMPLETE POOL:</t>
  </si>
  <si>
    <t>POOL COMPLETED</t>
  </si>
  <si>
    <t>Q5</t>
  </si>
  <si>
    <t>R5</t>
  </si>
  <si>
    <t>S5</t>
  </si>
  <si>
    <t>T5</t>
  </si>
  <si>
    <t>U5</t>
  </si>
  <si>
    <t>V5</t>
  </si>
  <si>
    <t>W5</t>
  </si>
  <si>
    <t>X5</t>
  </si>
  <si>
    <t>Y5</t>
  </si>
  <si>
    <t>Z5</t>
  </si>
  <si>
    <t>Nation</t>
  </si>
  <si>
    <t>W</t>
  </si>
  <si>
    <t>L</t>
  </si>
  <si>
    <t>Fill in the grey cells</t>
  </si>
  <si>
    <t>Top Scorer</t>
  </si>
  <si>
    <t>Best Tournament player</t>
  </si>
  <si>
    <t>Write a player</t>
  </si>
  <si>
    <t>You may have left over some match-ups without prediction or you may have not written your name</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</si>
  <si>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</si>
  <si>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</si>
  <si>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</si>
  <si>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</si>
  <si>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</si>
  <si>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</si>
  <si>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</si>
  <si>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</si>
  <si>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</si>
  <si>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</si>
  <si>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</si>
  <si>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</si>
  <si>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</si>
  <si>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</si>
  <si>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</si>
  <si>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</si>
  <si>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</si>
  <si>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</si>
  <si>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</si>
  <si>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</si>
  <si>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</si>
  <si>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</si>
  <si>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</si>
  <si>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</si>
  <si>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</si>
  <si>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</si>
  <si>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</si>
  <si>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</si>
  <si>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</si>
  <si>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</si>
  <si>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</si>
  <si>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</si>
  <si>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</si>
  <si>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</si>
  <si>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·For de round of 16 matches, copy from C88 to C105 and paste in the administrator template in "Paste Values Round of 16"</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</si>
  <si>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</si>
  <si>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</si>
  <si>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</si>
  <si>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</si>
  <si>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</si>
  <si>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</si>
  <si>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</si>
  <si>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</si>
  <si>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</si>
  <si>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</si>
  <si>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</si>
  <si>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</si>
  <si>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</si>
  <si>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 The formulas, protection and structure must not be modified. The file cannot be resold to third parties and is for the exclusive use of the user.</t>
  </si>
  <si>
    <t>Author:</t>
  </si>
  <si>
    <t>Last version:</t>
  </si>
  <si>
    <t>Útima versión</t>
  </si>
  <si>
    <t>K2</t>
  </si>
  <si>
    <t>K4</t>
  </si>
  <si>
    <t>K5</t>
  </si>
  <si>
    <t>K6</t>
  </si>
  <si>
    <t>K7</t>
  </si>
  <si>
    <t>K8</t>
  </si>
  <si>
    <t>K9</t>
  </si>
  <si>
    <t>K10</t>
  </si>
  <si>
    <t>K11</t>
  </si>
  <si>
    <t>K12</t>
  </si>
  <si>
    <t>K13</t>
  </si>
  <si>
    <t>K14</t>
  </si>
  <si>
    <t>K15</t>
  </si>
  <si>
    <t>K16</t>
  </si>
  <si>
    <t>K17</t>
  </si>
  <si>
    <t>F12</t>
  </si>
  <si>
    <t>English</t>
  </si>
  <si>
    <t>Selecciona idioma: -&gt;</t>
  </si>
  <si>
    <t>Select languaje: -&gt;</t>
  </si>
  <si>
    <t>B7</t>
  </si>
  <si>
    <t>Download Adminstrator Excel File</t>
  </si>
  <si>
    <t>L11</t>
  </si>
  <si>
    <t>Disclaimer:</t>
  </si>
  <si>
    <t>Paises</t>
  </si>
  <si>
    <t>UTC (Verano)</t>
  </si>
  <si>
    <t>Organizador</t>
  </si>
  <si>
    <t>Invierno</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</si>
  <si>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</si>
  <si>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</si>
  <si>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</si>
  <si>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</si>
  <si>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</si>
  <si>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</si>
  <si>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</si>
  <si>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</si>
  <si>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</si>
  <si>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</si>
  <si>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</si>
  <si>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</si>
  <si>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</si>
  <si>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</si>
  <si>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</si>
  <si>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</si>
  <si>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</si>
  <si>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</si>
  <si>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</si>
  <si>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</si>
  <si>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PAIS ORGANIZADOR (ESCRIBIR)</t>
  </si>
  <si>
    <t>Escribir el pais en idiomas</t>
  </si>
  <si>
    <t>esta celda esparte de la tabla de la derecha</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</si>
  <si>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</si>
  <si>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</si>
  <si>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</si>
  <si>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</si>
  <si>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</si>
  <si>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</si>
  <si>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</si>
  <si>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</si>
  <si>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</si>
  <si>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</si>
  <si>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</si>
  <si>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</si>
  <si>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</si>
  <si>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</si>
  <si>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</si>
  <si>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</si>
  <si>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</si>
  <si>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</si>
  <si>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</si>
  <si>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</si>
  <si>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</si>
  <si>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</si>
  <si>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</si>
  <si>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</si>
  <si>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</si>
  <si>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</si>
  <si>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</si>
  <si>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</si>
  <si>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</si>
  <si>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</si>
  <si>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</si>
  <si>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</si>
  <si>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</si>
  <si>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</si>
  <si>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</si>
  <si>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</si>
  <si>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</si>
  <si>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</si>
  <si>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</si>
  <si>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</si>
  <si>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</si>
  <si>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</si>
  <si>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</si>
  <si>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</si>
  <si>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</si>
  <si>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</si>
  <si>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</si>
  <si>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</si>
  <si>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</si>
  <si>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</si>
  <si>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</si>
  <si>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</si>
  <si>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</si>
  <si>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</si>
  <si>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</si>
  <si>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</si>
  <si>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</si>
  <si>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CAMBIAR ENLACE AL ARCHIVO DEL 2024</t>
  </si>
  <si>
    <t>L12</t>
  </si>
  <si>
    <t>If you want to organize a pool (betting game) with your group, you can download the file to manage it from the link below.</t>
  </si>
  <si>
    <t>Foto Home:</t>
  </si>
  <si>
    <t>De Jcer80 - Trabajo propio, CC BY-SA 3.0, wikipedia</t>
  </si>
  <si>
    <t>Bolivia</t>
  </si>
  <si>
    <t>Chile</t>
  </si>
  <si>
    <t>Colombia</t>
  </si>
  <si>
    <t>Paraguay</t>
  </si>
  <si>
    <t>Perú</t>
  </si>
  <si>
    <t>Venezuela</t>
  </si>
  <si>
    <t>🇦🇷</t>
  </si>
  <si>
    <t>🇧🇴</t>
  </si>
  <si>
    <t>🇧🇷</t>
  </si>
  <si>
    <t>🇨🇱</t>
  </si>
  <si>
    <t>🇨🇴</t>
  </si>
  <si>
    <t>🇪🇨</t>
  </si>
  <si>
    <t>🇵🇾</t>
  </si>
  <si>
    <t>🇵🇪</t>
  </si>
  <si>
    <t>🇺🇾</t>
  </si>
  <si>
    <t>🇻🇪</t>
  </si>
  <si>
    <t>Si quieres organizar una quiniela con tu grupo puedes descargar el archivo para administrarla desde el enlace de abajo</t>
  </si>
  <si>
    <t>XLVIII Copa América 2024</t>
  </si>
  <si>
    <t>XLVIII America Cup USA 2024</t>
  </si>
  <si>
    <t>Descargar Excel Administrador Quiniela</t>
  </si>
  <si>
    <t>Estados Unidos</t>
  </si>
  <si>
    <t>United States</t>
  </si>
  <si>
    <t>Brazil</t>
  </si>
  <si>
    <t>3-4</t>
  </si>
  <si>
    <t>COPAAMERICA</t>
  </si>
  <si>
    <t>3º-4º puesto</t>
  </si>
  <si>
    <t>3rd-4th place</t>
  </si>
  <si>
    <t>3rd place</t>
  </si>
  <si>
    <t>3º puesto</t>
  </si>
  <si>
    <t>QUINIELA INCOMPLETA:</t>
  </si>
  <si>
    <t>QUINIELA COMPLETA:</t>
  </si>
  <si>
    <t>Mejor portero del torneo</t>
  </si>
  <si>
    <t>Escribe un portero</t>
  </si>
  <si>
    <t>Write a Goalkeeper</t>
  </si>
  <si>
    <t>·Para la segunda jornada selecciona de la C14 a la C21 y pega valores en la plantilla de administrador.</t>
  </si>
  <si>
    <t>·For the 2nd Round select from C14 to C21 an paste as values in the Administrator Pool.</t>
  </si>
  <si>
    <t>·Para la tercera jornada selecciona de la C22 a la C57 y pega valores en la plantilla de administrador.</t>
  </si>
  <si>
    <t>·For the 3rd Round select from C22 to C57 an paste as values in the Administrator Pool.</t>
  </si>
  <si>
    <t>·Para los cuartos selecciona de la C60 a la C69 y pega valores en la plantilla de administrador.</t>
  </si>
  <si>
    <t>·For the round of Quarter-Finals matches, copy from C60 to C69 and paste in the administrator template in "Paste Values Quarterfinals"</t>
  </si>
  <si>
    <t>No octavos en copa america</t>
  </si>
  <si>
    <t>3º y 4º puesto (1)</t>
  </si>
  <si>
    <t>3rt-4th place (1)</t>
  </si>
  <si>
    <t>3º y 4º puesto (2)</t>
  </si>
  <si>
    <t>3rt-4th place (2)</t>
  </si>
  <si>
    <t>·Si haceis toda la Copa América de golpe copiar de la C6 a la C95 y pegar valores en la plantilla de Administrador.</t>
  </si>
  <si>
    <t xml:space="preserve">·If you play the whole tournament at once de golpe select from C6 to C95 and paste in the Administrator template.			</t>
  </si>
  <si>
    <t>·Para la primera jornada selecciona de la C6 a la C13 y pega valores en la plantilla de administrador. ¡OJO! COPIAR TAMBIÉN de la C93 a la C95.</t>
  </si>
  <si>
    <t>·For the 1st Round select from C6 to C13 an paste as values in the Administrator Pool. CAUTION. Also copy and paste values form C93 to C95.</t>
  </si>
  <si>
    <t>·Si haceis todas las eliminatorias de golpe, copiar de la C60 a la C92 y pegar valores en la plantilla de Administrador.</t>
  </si>
  <si>
    <t>·If you play the KO rounds at once select from C60 to C92 and paste in the Administrator template.</t>
  </si>
  <si>
    <t>·Para las semifinales selecciona de la C72 a la C81 y pega valores en la plantilla de administrador.</t>
  </si>
  <si>
    <t>·For the round of Semi-Finals matches, copy from C72 to C81 and paste in the administrator template in "Paste Values Semifinals"</t>
  </si>
  <si>
    <t>·Para la final y el 3º y 4º puesto selecciona de la C84 a la C92 y pega valores en la plantilla de administrador.</t>
  </si>
  <si>
    <t>·For the Final and 3-4 place matches, copy from C84 to C92 and paste in the administrator template in "Paste Values Final"</t>
  </si>
  <si>
    <t>·Al inicio de la competición si se hace por fases copiar de la C93 a la C95 y pegarla al final del jugador en el archivo de administrador.</t>
  </si>
  <si>
    <t>·At the beginning of the competition, if it is done in phases, copy from C93 to C95 and paste it at the end of the player in the administrator file.</t>
  </si>
  <si>
    <t>3º-4º PUESTO</t>
  </si>
  <si>
    <t>3rd-4th PLACE</t>
  </si>
  <si>
    <t>3-4
F</t>
  </si>
  <si>
    <t>Canada</t>
  </si>
  <si>
    <t>Mexico</t>
  </si>
  <si>
    <t>Jamaica</t>
  </si>
  <si>
    <t>Panamá</t>
  </si>
  <si>
    <t>🇺🇸</t>
  </si>
  <si>
    <t>🇨🇦</t>
  </si>
  <si>
    <t>🇲🇽</t>
  </si>
  <si>
    <t>🇨🇷</t>
  </si>
  <si>
    <t>Best Tournament goalkeeper</t>
  </si>
  <si>
    <t>3-4 &amp; F</t>
  </si>
  <si>
    <t>3º</t>
  </si>
  <si>
    <t>contar</t>
  </si>
  <si>
    <t>Nombrar del 1 al 16 (A 1 al 4, B: 5 al 8….</t>
  </si>
  <si>
    <t>portugués</t>
  </si>
  <si>
    <t>Se você deseja organizar uma bolão com o seu grupo, você pode baixar o arquivo para administrá-lo a partir do link abaixo.</t>
  </si>
  <si>
    <t>Introduzir resultados</t>
  </si>
  <si>
    <t>Selecionar idioma: -&gt;</t>
  </si>
  <si>
    <t>Baixar Excel para Administração do Bolão</t>
  </si>
  <si>
    <t>Selecionar horário</t>
  </si>
  <si>
    <t>Preencher as células cinzas</t>
  </si>
  <si>
    <t>Data</t>
  </si>
  <si>
    <t>Visitante</t>
  </si>
  <si>
    <t>É UM EMPATE! Escolha a ordem das Nações para determinar suas classificações.</t>
  </si>
  <si>
    <t>Melhor terceiro colocado</t>
  </si>
  <si>
    <t>Oitavas de final</t>
  </si>
  <si>
    <t>Quartas de final</t>
  </si>
  <si>
    <t>Semifinais</t>
  </si>
  <si>
    <t>Disputa pelo 3º e 4º lugar</t>
  </si>
  <si>
    <t>PAINEL DE HONRA</t>
  </si>
  <si>
    <t>Campeão</t>
  </si>
  <si>
    <t>Vice-Campeão</t>
  </si>
  <si>
    <t>3º lugar</t>
  </si>
  <si>
    <t>Artilheiro do torneio</t>
  </si>
  <si>
    <t>Melhor jogador do torneio</t>
  </si>
  <si>
    <t>Melhor goleiro do torneio</t>
  </si>
  <si>
    <t>Digite um jogador</t>
  </si>
  <si>
    <t>Digite um goleiro</t>
  </si>
  <si>
    <t>SEU NOME</t>
  </si>
  <si>
    <t>DIGITE SEU NOME</t>
  </si>
  <si>
    <t>BOLÃO INCOMPLETO:</t>
  </si>
  <si>
    <t>BOLÃO COMPLETO:</t>
  </si>
  <si>
    <t>Seleção</t>
  </si>
  <si>
    <t>V</t>
  </si>
  <si>
    <t>GS</t>
  </si>
  <si>
    <t>SG</t>
  </si>
  <si>
    <t>Este arquivo está disponível sem garantia. O autor não é responsável por danos, imprecisão dos dados ou perdas de qualquer tipo causadas pelo uso ou mau uso do arquivo. O uso deste arquivo será de responsabilidade do usuário. Senhas do arquivo não serão fornecidas (e não respondemos a pedidos por elas). O arquivo não contém macros. É recomendado escanear o arquivo baixado com um antivírus confiável. O arquivo não deve ser editado, exceto nos locais estabelecidos para isso (inserir os resultados, o nome). As fórmulas, proteções e estrutura não devem ser modificadas. O arquivo não pode ser revendido a terceiros e destina-se ao uso exclusivo do usuário.</t>
  </si>
  <si>
    <t>Última versão:</t>
  </si>
  <si>
    <t>Aviso Legal:</t>
  </si>
  <si>
    <t>Para el administrador de la Quiniela</t>
  </si>
  <si>
    <t>Nome</t>
  </si>
  <si>
    <t>Não mexer, preenche automaticamente!</t>
  </si>
  <si>
    <t>EL ADMINISTRADOR DE LA QUINIELA SEGUIRÁ LAS INSTRUCCIONES DE AQUÍ ABAJO</t>
  </si>
  <si>
    <t>· Se vocês fizerem toda a Copa América de uma vez, copie da C6 até a C95 e cole os valores no modelo do Administrador.</t>
  </si>
  <si>
    <t>· Se vocês fizerem rodada a rodada, sigam as instruções de cada rodada.</t>
  </si>
  <si>
    <t>· Para a primeira rodada, selecione da C6 até a C13 e cole os valores no modelo do administrador. CUIDADO! COPIE TAMBÉM da C93 até a C95.</t>
  </si>
  <si>
    <t>· Para a segunda rodada, selecione da C14 até a C21 e cole os valores no modelo do administrador.</t>
  </si>
  <si>
    <t>· Para a terceira rodada, selecione da C22 até a C57 e cole os valores no modelo do administrador.</t>
  </si>
  <si>
    <t>· Se vocês fizerem todas as eliminatórias de uma vez, copie da C60 até a C92 e cole os valores no modelo do Administrador.</t>
  </si>
  <si>
    <t>· Se vocês fizerem eliminatória por eliminatória, sigam as instruções de cada eliminatória.</t>
  </si>
  <si>
    <t>· Para as oitavas, selecione da C88 até a C105 e cole os valores no modelo do administrador.</t>
  </si>
  <si>
    <t>· Para as quartas de final, selecione da C60 até a C69 e cole os valores no modelo do administrador.</t>
  </si>
  <si>
    <t>· Para as semifinais, selecione da C72 até a C81 e cole os valores no modelo do administrador.</t>
  </si>
  <si>
    <t>· Para a final e o 3º e 4º lugares, selecione da C84 até a C92 e cole os valores no modelo do administrador.</t>
  </si>
  <si>
    <t>· No início da competição, se for feito por fases, copie da C93 até a C95 e cole no final do jogador no arquivo do administrador.</t>
  </si>
  <si>
    <t>Para o administrador do Bolão</t>
  </si>
  <si>
    <t>O ADMINISTRADOR DO BOLÃO DEVERÁ SEGUIR AS INSTRUÇÕES ABAIXO</t>
  </si>
  <si>
    <t>POSICIÓN DOS GRUPOS</t>
  </si>
  <si>
    <t>CLASSIFICADOS PARA AS OITAVAS</t>
  </si>
  <si>
    <t>CONFRONTOS DAS OITAVAS</t>
  </si>
  <si>
    <t>CLASSIFICADOS PARA AS QUARTAS</t>
  </si>
  <si>
    <t>CONFRONTOS DAS QUARTAS</t>
  </si>
  <si>
    <t>CLASSIFICADOS PARA AS SEMIFINAIS</t>
  </si>
  <si>
    <t>CONFRONTOS DAS SEMIFINAIS</t>
  </si>
  <si>
    <t>CLASSIFICADOS PARA A FINAL</t>
  </si>
  <si>
    <t>CONFRONTO FINAL</t>
  </si>
  <si>
    <t>3º e 4º lugar (1)</t>
  </si>
  <si>
    <t>3º e 4º lugar (2)</t>
  </si>
  <si>
    <t>Colômbia</t>
  </si>
  <si>
    <t>Equador</t>
  </si>
  <si>
    <t>Paraguai</t>
  </si>
  <si>
    <t>Bolívia</t>
  </si>
  <si>
    <t>Peru</t>
  </si>
  <si>
    <t>Uruguai</t>
  </si>
  <si>
    <t>Português</t>
  </si>
  <si>
    <t>🇯🇲</t>
  </si>
  <si>
    <t>🇵🇦</t>
  </si>
  <si>
    <t>Panama</t>
  </si>
  <si>
    <t>Aún falta algún pronóstico</t>
  </si>
  <si>
    <t>Ainda falta algum prognóstico por fazer</t>
  </si>
  <si>
    <t>Excel Liga Española 1ª División 2024-2025</t>
  </si>
  <si>
    <t>Excel Liga Española 2ª División 2024-2025</t>
  </si>
  <si>
    <t>Excel Premier League 2024-2025</t>
  </si>
  <si>
    <t>Excel Champions League 2024-2025 (¿?)</t>
  </si>
  <si>
    <t>Excel JJOO 2024 (SOON)</t>
  </si>
  <si>
    <t>Excel Libertadores/Sudamericana 2024</t>
  </si>
  <si>
    <t>Excel Asian Cup 2024 (Ended)</t>
  </si>
  <si>
    <t>Excel Africa Cup 2024 (Ended)</t>
  </si>
  <si>
    <t>Excel Mundial Clubes (Excel Club World Cup) 2025</t>
  </si>
  <si>
    <t>Estamos trabajando en ello pero todavía no conocemos las normas de la competición</t>
  </si>
  <si>
    <t>We are working on it but we do not yet know the rules of the competition.</t>
  </si>
  <si>
    <t>Probablemente hagamos un archivo más adelante</t>
  </si>
  <si>
    <t>Estamos trabalhando nisso, mas ainda não conhecemos as regras da competição.</t>
  </si>
  <si>
    <t>We will probably make a file later.</t>
  </si>
  <si>
    <t>Provavelmente faremos um arquivo para o próximo ano.</t>
  </si>
  <si>
    <t>Excel Eurocopa 2024</t>
  </si>
  <si>
    <t>TO ACCESS CLICK IN</t>
  </si>
  <si>
    <t>Compartir:</t>
  </si>
  <si>
    <t>OTROS ARCHIVOS (2024-2025)</t>
  </si>
  <si>
    <t>OTHER FILES AVAILABLE (2024-2025)</t>
  </si>
  <si>
    <t>OUTROS ARQUIVOS (2024-2025)</t>
  </si>
  <si>
    <t>Share:</t>
  </si>
  <si>
    <t>Compartilhar:</t>
  </si>
  <si>
    <t xml:space="preserve">Te envío el Excel de la Copa América 2024 para descargarlo. </t>
  </si>
  <si>
    <t xml:space="preserve">I'm sending Copa América 2024 Excel Schedule for you to download. </t>
  </si>
  <si>
    <t>Estou enviando o Excel da Copa América 2024 para você baixar.</t>
  </si>
  <si>
    <t>Orden</t>
  </si>
  <si>
    <t>Dif C/ Org</t>
  </si>
  <si>
    <t>3º-4º LUGAR</t>
  </si>
  <si>
    <t>CLASIFICADOS PARA EL 3º y 4º PUESTO</t>
  </si>
  <si>
    <t>QUALIFIED FOR 3RD AND 4TH PLACE</t>
  </si>
  <si>
    <t>CLASSIFICADOS PARA 3º E 4º LUGAR</t>
  </si>
  <si>
    <t>·If you play the whole Group Stage at the begining and later the KO rounds select from C6 to C57 and paste in the Administrator template. ALSO copy and paste values form C93 to C95. For the round of 16 follow the instructions.</t>
  </si>
  <si>
    <t>· Se vocês fizerem toda a fase de grupos de uma vez e as eliminatórias separadamente, copie primeiro da C6 até a C57 e cole os valores no modelo do Administrador. E TAMBEM copie e cole os valores da C93 até a C95. Para as oitavas, sigam as instruções abaixo.</t>
  </si>
  <si>
    <t>·Si haceis toda la fase de grupos de golpe y las eliminatorias aparte, copiar primero de la C6 a la C57 y pegar valores en la plantilla de Administrador. OJO, copiar también y pegar valores de la C93 a la C95. En octavos seguir las instrucciones de abajo.</t>
  </si>
  <si>
    <t>Me acabo de descargar el Excel de la Copa América 2024</t>
  </si>
  <si>
    <t>I just downloaded the Copa América 2024 Excel spreadsheet!</t>
  </si>
  <si>
    <t>https://matejero.es/download/admin-excel-copa-america-2024/?ref=esheet</t>
  </si>
  <si>
    <t>https://matejero.es/download/excel-copa-america-2024/?ref=share</t>
  </si>
  <si>
    <t>Guarda el archivo y envialo al administrador de la quiniela</t>
  </si>
  <si>
    <t>Save the file and send it to the pool administrator</t>
  </si>
  <si>
    <t>Salve o arquivo e envie-o ao administrador do Bolão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</si>
</sst>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58" x14ac:knownFonts="1">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rgb="FFFF0000"/>
      <name val="Calibri"/>
      <family val="2"/>
      <scheme val="minor"/>
    </font>
    <font>
      <sz val="11"/>
      <color theme="0"/>
      <name val="Calibri"/>
      <family val="2"/>
      <scheme val="minor"/>
    </font>
    <font>
      <b/>
      <sz val="11"/>
      <color theme="0"/>
      <name val="Calibri"/>
      <family val="2"/>
      <scheme val="minor"/>
    </font>
    <font>
      <b/>
      <sz val="11"/>
      <name val="Calibri"/>
      <family val="2"/>
      <scheme val="minor"/>
    </font>
    <font>
      <sz val="9"/>
      <color theme="0" tint="-0.14999847407452621"/>
      <name val="Arial"/>
      <family val="2"/>
    </font>
    <font>
      <sz val="10"/>
      <color theme="0"/>
      <name val="Calibri"/>
      <family val="2"/>
      <scheme val="minor"/>
    </font>
    <font>
      <b/>
      <sz val="10"/>
      <name val="Calibri"/>
      <family val="2"/>
      <scheme val="minor"/>
    </font>
    <font>
      <b/>
      <sz val="12"/>
      <color theme="1"/>
      <name val="Calibri"/>
      <family val="2"/>
      <scheme val="minor"/>
    </font>
    <font>
      <b/>
      <sz val="13"/>
      <color theme="0"/>
      <name val="Calibri"/>
      <family val="2"/>
      <scheme val="minor"/>
    </font>
    <font>
      <sz val="13"/>
      <color theme="1"/>
      <name val="Calibri"/>
      <family val="2"/>
      <scheme val="minor"/>
    </font>
    <font>
      <b/>
      <sz val="10"/>
      <color theme="3"/>
      <name val="Calibri"/>
      <family val="2"/>
      <scheme val="minor"/>
    </font>
    <font>
      <sz val="11"/>
      <name val="Calibri"/>
      <family val="2"/>
      <scheme val="minor"/>
    </font>
    <font>
      <b/>
      <sz val="24"/>
      <color theme="0"/>
      <name val="Calibri"/>
      <family val="2"/>
      <scheme val="minor"/>
    </font>
    <font>
      <sz val="12"/>
      <color theme="0"/>
      <name val="Calibri"/>
      <family val="2"/>
      <scheme val="minor"/>
    </font>
    <font>
      <b/>
      <sz val="12"/>
      <color theme="0"/>
      <name val="Calibri"/>
      <family val="2"/>
      <scheme val="minor"/>
    </font>
    <font>
      <b/>
      <sz val="10"/>
      <color theme="0" tint="-4.9989318521683403E-2"/>
      <name val="Calibri"/>
      <family val="2"/>
      <scheme val="minor"/>
    </font>
    <font>
      <sz val="8"/>
      <name val="Calibri"/>
      <family val="2"/>
      <scheme val="minor"/>
    </font>
    <font>
      <sz val="8"/>
      <color theme="0"/>
      <name val="Calibri"/>
      <family val="2"/>
      <scheme val="minor"/>
    </font>
    <font>
      <b/>
      <sz val="8"/>
      <color theme="1"/>
      <name val="Calibri"/>
      <family val="2"/>
      <scheme val="minor"/>
    </font>
    <font>
      <b/>
      <sz val="14"/>
      <color theme="1"/>
      <name val="Calibri"/>
      <family val="2"/>
      <scheme val="minor"/>
    </font>
    <font>
      <b/>
      <sz val="10"/>
      <color theme="0"/>
      <name val="Calibri"/>
      <family val="2"/>
      <scheme val="minor"/>
    </font>
    <font>
      <sz val="14"/>
      <color theme="0"/>
      <name val="Calibri"/>
      <family val="2"/>
      <scheme val="minor"/>
    </font>
    <font>
      <b/>
      <sz val="11"/>
      <color rgb="FFFF000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20"/>
      <color theme="0"/>
      <name val="Calibri"/>
      <family val="2"/>
      <scheme val="minor"/>
    </font>
    <font>
      <b/>
      <sz val="16"/>
      <color theme="0"/>
      <name val="Calibri"/>
      <family val="2"/>
      <scheme val="minor"/>
    </font>
    <font>
      <sz val="11"/>
      <color rgb="FF0056A3"/>
      <name val="Calibri"/>
      <family val="2"/>
      <scheme val="minor"/>
    </font>
    <font>
      <b/>
      <sz val="14"/>
      <color theme="0"/>
      <name val="Calibri"/>
      <family val="2"/>
      <scheme val="minor"/>
    </font>
    <font>
      <sz val="10"/>
      <color theme="1"/>
      <name val="Calibri"/>
      <family val="2"/>
      <scheme val="minor"/>
    </font>
    <font>
      <sz val="11"/>
      <color theme="1"/>
      <name val="Calibri"/>
      <family val="2"/>
      <scheme val="minor"/>
    </font>
    <font>
      <b/>
      <sz val="48"/>
      <color theme="0"/>
      <name val="Calibri"/>
      <family val="2"/>
      <scheme val="minor"/>
    </font>
    <font>
      <b/>
      <sz val="10"/>
      <color rgb="FFFF0000"/>
      <name val="Calibri"/>
      <family val="2"/>
      <scheme val="minor"/>
    </font>
    <font>
      <sz val="13"/>
      <color theme="0"/>
      <name val="Calibri"/>
      <family val="2"/>
      <scheme val="minor"/>
    </font>
    <font>
      <sz val="14"/>
      <color theme="1"/>
      <name val="Calibri"/>
      <family val="2"/>
      <scheme val="minor"/>
    </font>
    <font>
      <u/>
      <sz val="11"/>
      <color theme="1"/>
      <name val="Calibri"/>
      <family val="2"/>
      <scheme val="minor"/>
    </font>
    <font>
      <b/>
      <sz val="11"/>
      <color rgb="FF0056A4"/>
      <name val="Calibri"/>
      <family val="2"/>
      <scheme val="minor"/>
    </font>
    <font>
      <b/>
      <sz val="15"/>
      <color theme="1"/>
      <name val="Calibri"/>
      <family val="2"/>
      <scheme val="minor"/>
    </font>
    <font>
      <b/>
      <sz val="15"/>
      <color theme="0"/>
      <name val="Calibri"/>
      <family val="2"/>
      <scheme val="minor"/>
    </font>
    <font>
      <sz val="11"/>
      <color theme="0" tint="-0.14999847407452621"/>
      <name val="Calibri"/>
      <family val="2"/>
      <scheme val="minor"/>
    </font>
    <font>
      <sz val="16"/>
      <color theme="0"/>
      <name val="Calibri"/>
      <family val="2"/>
      <scheme val="minor"/>
    </font>
    <font>
      <b/>
      <sz val="18"/>
      <color rgb="FF00B050"/>
      <name val="Calibri"/>
      <family val="2"/>
      <scheme val="minor"/>
    </font>
    <font>
      <b/>
      <sz val="18"/>
      <color theme="0"/>
      <name val="Calibri"/>
      <family val="2"/>
      <scheme val="minor"/>
    </font>
    <font>
      <b/>
      <sz val="16"/>
      <color theme="1"/>
      <name val="Calibri"/>
      <family val="2"/>
      <scheme val="minor"/>
    </font>
    <font>
      <u/>
      <sz val="11"/>
      <color theme="0"/>
      <name val="Calibri"/>
      <family val="2"/>
      <scheme val="minor"/>
    </font>
    <font>
      <sz val="9"/>
      <color theme="0"/>
      <name val="Calibri"/>
      <family val="2"/>
      <scheme val="minor"/>
    </font>
    <font>
      <sz val="14"/>
      <color rgb="FF000000"/>
      <name val="Calibri"/>
      <family val="2"/>
      <scheme val="minor"/>
    </font>
    <font>
      <sz val="12"/>
      <color theme="0"/>
      <name val="Arial"/>
      <family val="2"/>
    </font>
  </fonts>
  <fills count="43">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theme="3" tint="0.59999389629810485"/>
        <bgColor indexed="64"/>
      </patternFill>
    </fill>
    <fill>
      <patternFill patternType="solid">
        <fgColor rgb="FFFF0000"/>
        <bgColor indexed="64"/>
      </patternFill>
    </fill>
    <fill>
      <patternFill patternType="solid">
        <fgColor rgb="FFE29843"/>
        <bgColor indexed="64"/>
      </patternFill>
    </fill>
    <fill>
      <patternFill patternType="solid">
        <fgColor rgb="FF01A439"/>
        <bgColor indexed="64"/>
      </patternFill>
    </fill>
    <fill>
      <patternFill patternType="solid">
        <fgColor rgb="FF019535"/>
        <bgColor indexed="64"/>
      </patternFill>
    </fill>
    <fill>
      <patternFill patternType="solid">
        <fgColor rgb="FFFEC200"/>
        <bgColor indexed="64"/>
      </patternFill>
    </fill>
    <fill>
      <patternFill patternType="solid">
        <fgColor rgb="FFFFA800"/>
        <bgColor indexed="64"/>
      </patternFill>
    </fill>
    <fill>
      <patternFill patternType="solid">
        <fgColor rgb="FF0098A6"/>
        <bgColor indexed="64"/>
      </patternFill>
    </fill>
    <fill>
      <patternFill patternType="solid">
        <fgColor rgb="FF00B3C9"/>
        <bgColor indexed="64"/>
      </patternFill>
    </fill>
    <fill>
      <patternFill patternType="solid">
        <fgColor rgb="FF0056A3"/>
        <bgColor indexed="64"/>
      </patternFill>
    </fill>
    <fill>
      <patternFill patternType="solid">
        <fgColor rgb="FF7E3680"/>
        <bgColor indexed="64"/>
      </patternFill>
    </fill>
    <fill>
      <patternFill patternType="solid">
        <fgColor rgb="FFB37836"/>
        <bgColor indexed="64"/>
      </patternFill>
    </fill>
    <fill>
      <patternFill patternType="solid">
        <fgColor rgb="FF913D92"/>
        <bgColor indexed="64"/>
      </patternFill>
    </fill>
    <fill>
      <patternFill patternType="solid">
        <fgColor rgb="FFF6A302"/>
        <bgColor indexed="64"/>
      </patternFill>
    </fill>
    <fill>
      <patternFill patternType="solid">
        <fgColor rgb="FFA50004"/>
        <bgColor indexed="64"/>
      </patternFill>
    </fill>
    <fill>
      <patternFill patternType="solid">
        <fgColor rgb="FFBF162B"/>
        <bgColor indexed="64"/>
      </patternFill>
    </fill>
    <fill>
      <patternFill patternType="solid">
        <fgColor rgb="FFC65911"/>
        <bgColor indexed="64"/>
      </patternFill>
    </fill>
    <fill>
      <patternFill patternType="solid">
        <fgColor rgb="FFF4B084"/>
        <bgColor indexed="64"/>
      </patternFill>
    </fill>
    <fill>
      <patternFill patternType="solid">
        <fgColor rgb="FF2F75B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rgb="FFFFBE00"/>
        <bgColor indexed="64"/>
      </patternFill>
    </fill>
    <fill>
      <patternFill patternType="solid">
        <fgColor rgb="FF92D050"/>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C9C9C9"/>
        <bgColor indexed="64"/>
      </patternFill>
    </fill>
    <fill>
      <patternFill patternType="solid">
        <fgColor theme="5" tint="-0.249977111117893"/>
        <bgColor indexed="64"/>
      </patternFill>
    </fill>
    <fill>
      <patternFill patternType="solid">
        <fgColor rgb="FF00B050"/>
        <bgColor auto="1"/>
      </patternFill>
    </fill>
    <fill>
      <patternFill patternType="solid">
        <fgColor rgb="FF00B050"/>
        <bgColor indexed="64"/>
      </patternFill>
    </fill>
    <fill>
      <patternFill patternType="solid">
        <fgColor rgb="FFFFAA5F"/>
        <bgColor indexed="64"/>
      </patternFill>
    </fill>
    <fill>
      <patternFill patternType="solid">
        <fgColor rgb="FFFFC7CE"/>
        <bgColor indexed="64"/>
      </patternFill>
    </fill>
    <fill>
      <patternFill patternType="solid">
        <fgColor rgb="FFDBEEF3"/>
        <bgColor indexed="64"/>
      </patternFill>
    </fill>
    <fill>
      <patternFill patternType="solid">
        <fgColor rgb="FFEBF2DF"/>
        <bgColor indexed="64"/>
      </patternFill>
    </fill>
    <fill>
      <patternFill patternType="solid">
        <fgColor rgb="FFFFC000"/>
        <bgColor indexed="64"/>
      </patternFill>
    </fill>
    <fill>
      <patternFill patternType="solid">
        <fgColor rgb="FFFFFFFF"/>
        <bgColor rgb="FF000000"/>
      </patternFill>
    </fill>
  </fills>
  <borders count="235">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thin">
        <color theme="0"/>
      </left>
      <right/>
      <top style="thin">
        <color theme="0"/>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auto="1"/>
      </left>
      <right style="medium">
        <color auto="1"/>
      </right>
      <top style="medium">
        <color auto="1"/>
      </top>
      <bottom style="medium">
        <color auto="1"/>
      </bottom>
      <diagonal/>
    </border>
    <border>
      <left style="medium">
        <color rgb="FF019535"/>
      </left>
      <right/>
      <top style="medium">
        <color rgb="FF019535"/>
      </top>
      <bottom/>
      <diagonal/>
    </border>
    <border>
      <left/>
      <right/>
      <top style="medium">
        <color rgb="FF019535"/>
      </top>
      <bottom/>
      <diagonal/>
    </border>
    <border>
      <left style="thin">
        <color theme="0"/>
      </left>
      <right/>
      <top style="medium">
        <color rgb="FF019535"/>
      </top>
      <bottom/>
      <diagonal/>
    </border>
    <border>
      <left/>
      <right style="thin">
        <color theme="0"/>
      </right>
      <top style="medium">
        <color rgb="FF019535"/>
      </top>
      <bottom/>
      <diagonal/>
    </border>
    <border>
      <left style="thin">
        <color theme="0"/>
      </left>
      <right style="thin">
        <color theme="0"/>
      </right>
      <top style="medium">
        <color rgb="FF019535"/>
      </top>
      <bottom style="thin">
        <color theme="0"/>
      </bottom>
      <diagonal/>
    </border>
    <border>
      <left/>
      <right style="medium">
        <color rgb="FF019535"/>
      </right>
      <top style="medium">
        <color rgb="FF019535"/>
      </top>
      <bottom/>
      <diagonal/>
    </border>
    <border>
      <left style="medium">
        <color rgb="FF019535"/>
      </left>
      <right/>
      <top/>
      <bottom/>
      <diagonal/>
    </border>
    <border>
      <left/>
      <right style="medium">
        <color rgb="FF019535"/>
      </right>
      <top/>
      <bottom/>
      <diagonal/>
    </border>
    <border>
      <left style="medium">
        <color rgb="FF019535"/>
      </left>
      <right/>
      <top/>
      <bottom style="medium">
        <color rgb="FF019535"/>
      </bottom>
      <diagonal/>
    </border>
    <border>
      <left/>
      <right/>
      <top/>
      <bottom style="medium">
        <color rgb="FF019535"/>
      </bottom>
      <diagonal/>
    </border>
    <border>
      <left style="thin">
        <color theme="0"/>
      </left>
      <right/>
      <top/>
      <bottom style="medium">
        <color rgb="FF019535"/>
      </bottom>
      <diagonal/>
    </border>
    <border>
      <left/>
      <right style="thin">
        <color theme="0"/>
      </right>
      <top/>
      <bottom style="medium">
        <color rgb="FF019535"/>
      </bottom>
      <diagonal/>
    </border>
    <border>
      <left style="thin">
        <color theme="0"/>
      </left>
      <right style="thin">
        <color theme="0"/>
      </right>
      <top/>
      <bottom style="medium">
        <color rgb="FF019535"/>
      </bottom>
      <diagonal/>
    </border>
    <border>
      <left/>
      <right style="medium">
        <color rgb="FF019535"/>
      </right>
      <top/>
      <bottom style="medium">
        <color rgb="FF019535"/>
      </bottom>
      <diagonal/>
    </border>
    <border>
      <left style="medium">
        <color rgb="FFFFA800"/>
      </left>
      <right/>
      <top style="medium">
        <color rgb="FFFFA800"/>
      </top>
      <bottom/>
      <diagonal/>
    </border>
    <border>
      <left/>
      <right/>
      <top style="medium">
        <color rgb="FFFFA800"/>
      </top>
      <bottom/>
      <diagonal/>
    </border>
    <border>
      <left style="thin">
        <color theme="0"/>
      </left>
      <right/>
      <top style="medium">
        <color rgb="FFFFA800"/>
      </top>
      <bottom/>
      <diagonal/>
    </border>
    <border>
      <left/>
      <right style="thin">
        <color theme="0"/>
      </right>
      <top style="medium">
        <color rgb="FFFFA800"/>
      </top>
      <bottom/>
      <diagonal/>
    </border>
    <border>
      <left style="thin">
        <color theme="0"/>
      </left>
      <right style="thin">
        <color theme="0"/>
      </right>
      <top style="medium">
        <color rgb="FFFFA800"/>
      </top>
      <bottom style="thin">
        <color theme="0"/>
      </bottom>
      <diagonal/>
    </border>
    <border>
      <left/>
      <right style="medium">
        <color rgb="FFFFA800"/>
      </right>
      <top style="medium">
        <color rgb="FFFFA800"/>
      </top>
      <bottom/>
      <diagonal/>
    </border>
    <border>
      <left style="medium">
        <color rgb="FFFFA800"/>
      </left>
      <right/>
      <top/>
      <bottom/>
      <diagonal/>
    </border>
    <border>
      <left/>
      <right style="medium">
        <color rgb="FFFFA800"/>
      </right>
      <top/>
      <bottom/>
      <diagonal/>
    </border>
    <border>
      <left style="medium">
        <color rgb="FFFFA800"/>
      </left>
      <right/>
      <top/>
      <bottom style="medium">
        <color rgb="FFFFA800"/>
      </bottom>
      <diagonal/>
    </border>
    <border>
      <left/>
      <right/>
      <top/>
      <bottom style="medium">
        <color rgb="FFFFA800"/>
      </bottom>
      <diagonal/>
    </border>
    <border>
      <left style="thin">
        <color theme="0"/>
      </left>
      <right/>
      <top/>
      <bottom style="medium">
        <color rgb="FFFFA800"/>
      </bottom>
      <diagonal/>
    </border>
    <border>
      <left/>
      <right style="thin">
        <color theme="0"/>
      </right>
      <top/>
      <bottom style="medium">
        <color rgb="FFFFA800"/>
      </bottom>
      <diagonal/>
    </border>
    <border>
      <left style="thin">
        <color theme="0"/>
      </left>
      <right style="thin">
        <color theme="0"/>
      </right>
      <top/>
      <bottom style="medium">
        <color rgb="FFFFA800"/>
      </bottom>
      <diagonal/>
    </border>
    <border>
      <left/>
      <right style="medium">
        <color rgb="FFFFA800"/>
      </right>
      <top/>
      <bottom style="medium">
        <color rgb="FFFFA800"/>
      </bottom>
      <diagonal/>
    </border>
    <border>
      <left style="medium">
        <color rgb="FF0098A6"/>
      </left>
      <right/>
      <top style="medium">
        <color rgb="FF0098A6"/>
      </top>
      <bottom/>
      <diagonal/>
    </border>
    <border>
      <left/>
      <right/>
      <top style="medium">
        <color rgb="FF0098A6"/>
      </top>
      <bottom/>
      <diagonal/>
    </border>
    <border>
      <left style="thin">
        <color theme="0"/>
      </left>
      <right/>
      <top style="medium">
        <color rgb="FF0098A6"/>
      </top>
      <bottom/>
      <diagonal/>
    </border>
    <border>
      <left/>
      <right style="thin">
        <color theme="0"/>
      </right>
      <top style="medium">
        <color rgb="FF0098A6"/>
      </top>
      <bottom/>
      <diagonal/>
    </border>
    <border>
      <left style="thin">
        <color theme="0"/>
      </left>
      <right style="thin">
        <color theme="0"/>
      </right>
      <top style="medium">
        <color rgb="FF0098A6"/>
      </top>
      <bottom style="thin">
        <color theme="0"/>
      </bottom>
      <diagonal/>
    </border>
    <border>
      <left/>
      <right style="medium">
        <color rgb="FF0098A6"/>
      </right>
      <top style="medium">
        <color rgb="FF0098A6"/>
      </top>
      <bottom/>
      <diagonal/>
    </border>
    <border>
      <left style="medium">
        <color rgb="FF0098A6"/>
      </left>
      <right/>
      <top/>
      <bottom/>
      <diagonal/>
    </border>
    <border>
      <left/>
      <right style="medium">
        <color rgb="FF0098A6"/>
      </right>
      <top/>
      <bottom/>
      <diagonal/>
    </border>
    <border>
      <left style="medium">
        <color rgb="FF0098A6"/>
      </left>
      <right/>
      <top/>
      <bottom style="medium">
        <color rgb="FF0098A6"/>
      </bottom>
      <diagonal/>
    </border>
    <border>
      <left/>
      <right/>
      <top/>
      <bottom style="medium">
        <color rgb="FF0098A6"/>
      </bottom>
      <diagonal/>
    </border>
    <border>
      <left style="thin">
        <color theme="0"/>
      </left>
      <right/>
      <top/>
      <bottom style="medium">
        <color rgb="FF0098A6"/>
      </bottom>
      <diagonal/>
    </border>
    <border>
      <left/>
      <right style="thin">
        <color theme="0"/>
      </right>
      <top/>
      <bottom style="medium">
        <color rgb="FF0098A6"/>
      </bottom>
      <diagonal/>
    </border>
    <border>
      <left style="thin">
        <color theme="0"/>
      </left>
      <right style="thin">
        <color theme="0"/>
      </right>
      <top/>
      <bottom style="medium">
        <color rgb="FF0098A6"/>
      </bottom>
      <diagonal/>
    </border>
    <border>
      <left/>
      <right style="medium">
        <color rgb="FF0098A6"/>
      </right>
      <top/>
      <bottom style="medium">
        <color rgb="FF0098A6"/>
      </bottom>
      <diagonal/>
    </border>
    <border>
      <left style="medium">
        <color rgb="FF7E3680"/>
      </left>
      <right/>
      <top style="medium">
        <color rgb="FF7E3680"/>
      </top>
      <bottom/>
      <diagonal/>
    </border>
    <border>
      <left/>
      <right/>
      <top style="medium">
        <color rgb="FF7E3680"/>
      </top>
      <bottom/>
      <diagonal/>
    </border>
    <border>
      <left/>
      <right style="medium">
        <color rgb="FF7E3680"/>
      </right>
      <top style="medium">
        <color rgb="FF7E3680"/>
      </top>
      <bottom/>
      <diagonal/>
    </border>
    <border>
      <left style="medium">
        <color rgb="FF7E3680"/>
      </left>
      <right/>
      <top/>
      <bottom style="medium">
        <color rgb="FF7E3680"/>
      </bottom>
      <diagonal/>
    </border>
    <border>
      <left/>
      <right/>
      <top/>
      <bottom style="medium">
        <color rgb="FF7E3680"/>
      </bottom>
      <diagonal/>
    </border>
    <border>
      <left/>
      <right style="medium">
        <color rgb="FF7E3680"/>
      </right>
      <top/>
      <bottom style="medium">
        <color rgb="FF7E3680"/>
      </bottom>
      <diagonal/>
    </border>
    <border>
      <left style="medium">
        <color rgb="FF7E3680"/>
      </left>
      <right/>
      <top/>
      <bottom/>
      <diagonal/>
    </border>
    <border>
      <left/>
      <right style="medium">
        <color rgb="FF7E3680"/>
      </right>
      <top/>
      <bottom/>
      <diagonal/>
    </border>
    <border>
      <left style="medium">
        <color rgb="FFB37836"/>
      </left>
      <right/>
      <top style="medium">
        <color rgb="FFB37836"/>
      </top>
      <bottom style="medium">
        <color rgb="FFB37836"/>
      </bottom>
      <diagonal/>
    </border>
    <border>
      <left/>
      <right/>
      <top style="medium">
        <color rgb="FFB37836"/>
      </top>
      <bottom style="medium">
        <color rgb="FFB37836"/>
      </bottom>
      <diagonal/>
    </border>
    <border>
      <left style="thin">
        <color theme="0"/>
      </left>
      <right/>
      <top style="medium">
        <color rgb="FFB37836"/>
      </top>
      <bottom style="medium">
        <color rgb="FFB37836"/>
      </bottom>
      <diagonal/>
    </border>
    <border>
      <left style="thin">
        <color theme="0"/>
      </left>
      <right style="thin">
        <color theme="0"/>
      </right>
      <top style="medium">
        <color rgb="FFB37836"/>
      </top>
      <bottom style="medium">
        <color rgb="FFB37836"/>
      </bottom>
      <diagonal/>
    </border>
    <border>
      <left/>
      <right style="medium">
        <color rgb="FFB37836"/>
      </right>
      <top style="medium">
        <color rgb="FFB37836"/>
      </top>
      <bottom style="medium">
        <color rgb="FFB37836"/>
      </bottom>
      <diagonal/>
    </border>
    <border>
      <left/>
      <right style="thin">
        <color theme="0"/>
      </right>
      <top style="medium">
        <color rgb="FF7E3680"/>
      </top>
      <bottom/>
      <diagonal/>
    </border>
    <border>
      <left style="thin">
        <color theme="0"/>
      </left>
      <right/>
      <top style="medium">
        <color rgb="FF7E3680"/>
      </top>
      <bottom/>
      <diagonal/>
    </border>
    <border>
      <left style="thin">
        <color theme="0"/>
      </left>
      <right style="thin">
        <color theme="0"/>
      </right>
      <top style="medium">
        <color rgb="FF7E3680"/>
      </top>
      <bottom style="thin">
        <color theme="0"/>
      </bottom>
      <diagonal/>
    </border>
    <border>
      <left/>
      <right style="thin">
        <color theme="0"/>
      </right>
      <top/>
      <bottom style="medium">
        <color rgb="FF7E3680"/>
      </bottom>
      <diagonal/>
    </border>
    <border>
      <left style="thin">
        <color theme="0"/>
      </left>
      <right/>
      <top/>
      <bottom style="medium">
        <color rgb="FF7E3680"/>
      </bottom>
      <diagonal/>
    </border>
    <border>
      <left style="thin">
        <color theme="0"/>
      </left>
      <right style="thin">
        <color theme="0"/>
      </right>
      <top style="thin">
        <color theme="0"/>
      </top>
      <bottom style="medium">
        <color rgb="FF7E3680"/>
      </bottom>
      <diagonal/>
    </border>
    <border>
      <left style="medium">
        <color rgb="FFFFBE56"/>
      </left>
      <right/>
      <top style="medium">
        <color rgb="FFFFBE56"/>
      </top>
      <bottom/>
      <diagonal/>
    </border>
    <border>
      <left/>
      <right/>
      <top style="medium">
        <color rgb="FFFFBE56"/>
      </top>
      <bottom/>
      <diagonal/>
    </border>
    <border>
      <left/>
      <right style="thin">
        <color theme="0"/>
      </right>
      <top style="medium">
        <color rgb="FFFFBE56"/>
      </top>
      <bottom/>
      <diagonal/>
    </border>
    <border>
      <left style="thin">
        <color theme="0"/>
      </left>
      <right/>
      <top style="medium">
        <color rgb="FFFFBE56"/>
      </top>
      <bottom/>
      <diagonal/>
    </border>
    <border>
      <left/>
      <right style="medium">
        <color rgb="FFFFBE56"/>
      </right>
      <top style="medium">
        <color rgb="FFFFBE56"/>
      </top>
      <bottom/>
      <diagonal/>
    </border>
    <border>
      <left style="medium">
        <color rgb="FFFFBE56"/>
      </left>
      <right/>
      <top/>
      <bottom style="medium">
        <color rgb="FFFFBE56"/>
      </bottom>
      <diagonal/>
    </border>
    <border>
      <left/>
      <right/>
      <top/>
      <bottom style="medium">
        <color rgb="FFFFBE56"/>
      </bottom>
      <diagonal/>
    </border>
    <border>
      <left/>
      <right style="thin">
        <color theme="0"/>
      </right>
      <top/>
      <bottom style="medium">
        <color rgb="FFFFBE56"/>
      </bottom>
      <diagonal/>
    </border>
    <border>
      <left style="thin">
        <color theme="0"/>
      </left>
      <right/>
      <top/>
      <bottom style="medium">
        <color rgb="FFFFBE56"/>
      </bottom>
      <diagonal/>
    </border>
    <border>
      <left/>
      <right style="medium">
        <color rgb="FFFFBE56"/>
      </right>
      <top/>
      <bottom style="medium">
        <color rgb="FFFFBE56"/>
      </bottom>
      <diagonal/>
    </border>
    <border>
      <left style="medium">
        <color rgb="FFA50004"/>
      </left>
      <right/>
      <top style="medium">
        <color rgb="FFA50004"/>
      </top>
      <bottom style="medium">
        <color rgb="FFA50004"/>
      </bottom>
      <diagonal/>
    </border>
    <border>
      <left/>
      <right/>
      <top style="medium">
        <color rgb="FFA50004"/>
      </top>
      <bottom style="medium">
        <color rgb="FFA50004"/>
      </bottom>
      <diagonal/>
    </border>
    <border>
      <left/>
      <right style="thin">
        <color theme="0"/>
      </right>
      <top style="medium">
        <color rgb="FFA50004"/>
      </top>
      <bottom style="medium">
        <color rgb="FFA50004"/>
      </bottom>
      <diagonal/>
    </border>
    <border>
      <left style="thin">
        <color theme="0"/>
      </left>
      <right/>
      <top style="medium">
        <color rgb="FFA50004"/>
      </top>
      <bottom style="medium">
        <color rgb="FFA50004"/>
      </bottom>
      <diagonal/>
    </border>
    <border>
      <left/>
      <right style="medium">
        <color rgb="FFA50004"/>
      </right>
      <top style="medium">
        <color rgb="FFA50004"/>
      </top>
      <bottom style="medium">
        <color rgb="FFA50004"/>
      </bottom>
      <diagonal/>
    </border>
    <border>
      <left style="medium">
        <color rgb="FFC65911"/>
      </left>
      <right/>
      <top style="medium">
        <color rgb="FFC65911"/>
      </top>
      <bottom/>
      <diagonal/>
    </border>
    <border>
      <left/>
      <right/>
      <top style="medium">
        <color rgb="FFC65911"/>
      </top>
      <bottom/>
      <diagonal/>
    </border>
    <border>
      <left style="thin">
        <color theme="0"/>
      </left>
      <right/>
      <top style="medium">
        <color rgb="FFC65911"/>
      </top>
      <bottom/>
      <diagonal/>
    </border>
    <border>
      <left/>
      <right style="thin">
        <color theme="0"/>
      </right>
      <top style="medium">
        <color rgb="FFC65911"/>
      </top>
      <bottom/>
      <diagonal/>
    </border>
    <border>
      <left style="thin">
        <color theme="0"/>
      </left>
      <right style="thin">
        <color theme="0"/>
      </right>
      <top style="medium">
        <color rgb="FFC65911"/>
      </top>
      <bottom style="thin">
        <color theme="0"/>
      </bottom>
      <diagonal/>
    </border>
    <border>
      <left/>
      <right style="medium">
        <color rgb="FFC65911"/>
      </right>
      <top style="medium">
        <color rgb="FFC65911"/>
      </top>
      <bottom/>
      <diagonal/>
    </border>
    <border>
      <left style="medium">
        <color rgb="FFC65911"/>
      </left>
      <right/>
      <top/>
      <bottom/>
      <diagonal/>
    </border>
    <border>
      <left/>
      <right style="medium">
        <color rgb="FFC65911"/>
      </right>
      <top/>
      <bottom/>
      <diagonal/>
    </border>
    <border>
      <left style="medium">
        <color rgb="FFC65911"/>
      </left>
      <right/>
      <top/>
      <bottom style="medium">
        <color rgb="FFC65911"/>
      </bottom>
      <diagonal/>
    </border>
    <border>
      <left/>
      <right/>
      <top/>
      <bottom style="medium">
        <color rgb="FFC65911"/>
      </bottom>
      <diagonal/>
    </border>
    <border>
      <left style="thin">
        <color theme="0"/>
      </left>
      <right/>
      <top/>
      <bottom style="medium">
        <color rgb="FFC65911"/>
      </bottom>
      <diagonal/>
    </border>
    <border>
      <left/>
      <right style="thin">
        <color theme="0"/>
      </right>
      <top/>
      <bottom style="medium">
        <color rgb="FFC65911"/>
      </bottom>
      <diagonal/>
    </border>
    <border>
      <left style="thin">
        <color theme="0"/>
      </left>
      <right style="thin">
        <color theme="0"/>
      </right>
      <top/>
      <bottom style="medium">
        <color rgb="FFC65911"/>
      </bottom>
      <diagonal/>
    </border>
    <border>
      <left/>
      <right style="medium">
        <color rgb="FFC65911"/>
      </right>
      <top/>
      <bottom style="medium">
        <color rgb="FFC65911"/>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right/>
      <top/>
      <bottom style="medium">
        <color rgb="FF01A439"/>
      </bottom>
      <diagonal/>
    </border>
    <border>
      <left/>
      <right style="medium">
        <color rgb="FF01A439"/>
      </right>
      <top/>
      <bottom/>
      <diagonal/>
    </border>
    <border>
      <left style="medium">
        <color rgb="FF01A439"/>
      </left>
      <right style="thin">
        <color rgb="FF01A439"/>
      </right>
      <top style="medium">
        <color rgb="FF01A439"/>
      </top>
      <bottom style="thin">
        <color rgb="FF01A439"/>
      </bottom>
      <diagonal/>
    </border>
    <border>
      <left style="thin">
        <color rgb="FF01A439"/>
      </left>
      <right style="thin">
        <color rgb="FF01A439"/>
      </right>
      <top style="medium">
        <color rgb="FF01A439"/>
      </top>
      <bottom style="thin">
        <color rgb="FF01A439"/>
      </bottom>
      <diagonal/>
    </border>
    <border>
      <left/>
      <right/>
      <top style="medium">
        <color rgb="FF01A439"/>
      </top>
      <bottom/>
      <diagonal/>
    </border>
    <border>
      <left style="thin">
        <color rgb="FF01A439"/>
      </left>
      <right style="medium">
        <color rgb="FF01A439"/>
      </right>
      <top style="medium">
        <color rgb="FF01A439"/>
      </top>
      <bottom style="thin">
        <color rgb="FF01A439"/>
      </bottom>
      <diagonal/>
    </border>
    <border>
      <left style="medium">
        <color rgb="FF01A439"/>
      </left>
      <right style="thin">
        <color rgb="FF01A439"/>
      </right>
      <top style="thin">
        <color rgb="FF01A439"/>
      </top>
      <bottom style="thin">
        <color rgb="FF01A439"/>
      </bottom>
      <diagonal/>
    </border>
    <border>
      <left style="thin">
        <color rgb="FF01A439"/>
      </left>
      <right style="thin">
        <color rgb="FF01A439"/>
      </right>
      <top style="thin">
        <color rgb="FF01A439"/>
      </top>
      <bottom style="thin">
        <color rgb="FF01A439"/>
      </bottom>
      <diagonal/>
    </border>
    <border>
      <left style="thin">
        <color rgb="FF01A439"/>
      </left>
      <right style="medium">
        <color rgb="FF01A439"/>
      </right>
      <top style="thin">
        <color rgb="FF01A439"/>
      </top>
      <bottom style="thin">
        <color rgb="FF01A439"/>
      </bottom>
      <diagonal/>
    </border>
    <border>
      <left style="thin">
        <color theme="4"/>
      </left>
      <right style="thin">
        <color theme="4"/>
      </right>
      <top style="thin">
        <color theme="4"/>
      </top>
      <bottom style="thin">
        <color theme="4"/>
      </bottom>
      <diagonal/>
    </border>
    <border>
      <left style="thin">
        <color theme="4"/>
      </left>
      <right/>
      <top/>
      <bottom style="thin">
        <color theme="4"/>
      </bottom>
      <diagonal/>
    </border>
    <border>
      <left/>
      <right style="thin">
        <color theme="4"/>
      </right>
      <top/>
      <bottom style="thin">
        <color theme="4"/>
      </bottom>
      <diagonal/>
    </border>
    <border>
      <left style="thin">
        <color theme="4"/>
      </left>
      <right style="thin">
        <color rgb="FF4F80BC"/>
      </right>
      <top style="thin">
        <color theme="4"/>
      </top>
      <bottom/>
      <diagonal/>
    </border>
    <border>
      <left/>
      <right style="thin">
        <color rgb="FF4F80BC"/>
      </right>
      <top/>
      <bottom/>
      <diagonal/>
    </border>
    <border>
      <left/>
      <right style="thin">
        <color theme="4"/>
      </right>
      <top style="thin">
        <color theme="4"/>
      </top>
      <bottom/>
      <diagonal/>
    </border>
    <border>
      <left/>
      <right/>
      <top/>
      <bottom style="thin">
        <color theme="4"/>
      </bottom>
      <diagonal/>
    </border>
    <border>
      <left/>
      <right style="medium">
        <color rgb="FF01A439"/>
      </right>
      <top/>
      <bottom style="medium">
        <color rgb="FF01A439"/>
      </bottom>
      <diagonal/>
    </border>
    <border>
      <left style="medium">
        <color rgb="FF01A439"/>
      </left>
      <right style="thin">
        <color rgb="FF01A439"/>
      </right>
      <top style="thin">
        <color rgb="FF01A439"/>
      </top>
      <bottom style="medium">
        <color rgb="FF01A439"/>
      </bottom>
      <diagonal/>
    </border>
    <border>
      <left style="thin">
        <color rgb="FF01A439"/>
      </left>
      <right style="thin">
        <color rgb="FF01A439"/>
      </right>
      <top style="thin">
        <color rgb="FF01A439"/>
      </top>
      <bottom style="medium">
        <color rgb="FF01A439"/>
      </bottom>
      <diagonal/>
    </border>
    <border>
      <left style="thin">
        <color theme="4"/>
      </left>
      <right style="thin">
        <color rgb="FF4F80BC"/>
      </right>
      <top/>
      <bottom style="thin">
        <color rgb="FF4F80BC"/>
      </bottom>
      <diagonal/>
    </border>
    <border>
      <left style="medium">
        <color rgb="FFFEC200"/>
      </left>
      <right style="thin">
        <color rgb="FFFEC200"/>
      </right>
      <top style="medium">
        <color rgb="FFFEC200"/>
      </top>
      <bottom/>
      <diagonal/>
    </border>
    <border>
      <left style="thin">
        <color rgb="FFFEC200"/>
      </left>
      <right style="thin">
        <color rgb="FFFEC200"/>
      </right>
      <top style="medium">
        <color rgb="FFFEC200"/>
      </top>
      <bottom/>
      <diagonal/>
    </border>
    <border>
      <left/>
      <right style="thin">
        <color rgb="FFFEC200"/>
      </right>
      <top style="medium">
        <color rgb="FFFEC200"/>
      </top>
      <bottom/>
      <diagonal/>
    </border>
    <border>
      <left/>
      <right style="medium">
        <color rgb="FFFEC200"/>
      </right>
      <top style="medium">
        <color rgb="FFFEC200"/>
      </top>
      <bottom style="thin">
        <color rgb="FFFEC200"/>
      </bottom>
      <diagonal/>
    </border>
    <border>
      <left/>
      <right/>
      <top/>
      <bottom style="thin">
        <color rgb="FF4F80BC"/>
      </bottom>
      <diagonal/>
    </border>
    <border>
      <left/>
      <right/>
      <top style="thin">
        <color theme="4"/>
      </top>
      <bottom/>
      <diagonal/>
    </border>
    <border>
      <left style="thin">
        <color rgb="FFFEC200"/>
      </left>
      <right style="thin">
        <color rgb="FFFEC200"/>
      </right>
      <top style="thin">
        <color rgb="FFFEC200"/>
      </top>
      <bottom style="thin">
        <color rgb="FFFEC200"/>
      </bottom>
      <diagonal/>
    </border>
    <border>
      <left/>
      <right style="thin">
        <color rgb="FFFEC200"/>
      </right>
      <top style="thin">
        <color rgb="FFFEC200"/>
      </top>
      <bottom style="thin">
        <color rgb="FFFEC200"/>
      </bottom>
      <diagonal/>
    </border>
    <border>
      <left/>
      <right style="medium">
        <color rgb="FFFEC200"/>
      </right>
      <top style="thin">
        <color rgb="FFFEC200"/>
      </top>
      <bottom style="thin">
        <color rgb="FFFEC200"/>
      </bottom>
      <diagonal/>
    </border>
    <border>
      <left style="thin">
        <color theme="4"/>
      </left>
      <right style="thin">
        <color rgb="FF4F80BC"/>
      </right>
      <top/>
      <bottom style="thin">
        <color theme="4"/>
      </bottom>
      <diagonal/>
    </border>
    <border>
      <left style="thin">
        <color rgb="FF4F80BC"/>
      </left>
      <right style="thin">
        <color rgb="FF4F80BC"/>
      </right>
      <top style="thin">
        <color rgb="FF4F80BC"/>
      </top>
      <bottom/>
      <diagonal/>
    </border>
    <border>
      <left/>
      <right style="thin">
        <color theme="4"/>
      </right>
      <top style="thin">
        <color theme="4"/>
      </top>
      <bottom style="thin">
        <color theme="4"/>
      </bottom>
      <diagonal/>
    </border>
    <border>
      <left style="thin">
        <color theme="4"/>
      </left>
      <right/>
      <top style="thin">
        <color theme="4"/>
      </top>
      <bottom/>
      <diagonal/>
    </border>
    <border>
      <left style="thin">
        <color rgb="FFFEC200"/>
      </left>
      <right style="thin">
        <color rgb="FFFEC200"/>
      </right>
      <top/>
      <bottom style="thin">
        <color rgb="FFFEC200"/>
      </bottom>
      <diagonal/>
    </border>
    <border>
      <left/>
      <right style="thin">
        <color rgb="FFFEC200"/>
      </right>
      <top/>
      <bottom style="thin">
        <color rgb="FFFEC200"/>
      </bottom>
      <diagonal/>
    </border>
    <border>
      <left style="thin">
        <color rgb="FFFEC200"/>
      </left>
      <right style="medium">
        <color rgb="FFFEC200"/>
      </right>
      <top style="thin">
        <color rgb="FFFEC200"/>
      </top>
      <bottom style="thin">
        <color rgb="FFFEC200"/>
      </bottom>
      <diagonal/>
    </border>
    <border>
      <left/>
      <right style="medium">
        <color rgb="FFFEC200"/>
      </right>
      <top/>
      <bottom style="medium">
        <color rgb="FFFEC200"/>
      </bottom>
      <diagonal/>
    </border>
    <border>
      <left style="medium">
        <color rgb="FFFEC200"/>
      </left>
      <right style="thin">
        <color rgb="FFFEC200"/>
      </right>
      <top/>
      <bottom style="medium">
        <color rgb="FFFEC200"/>
      </bottom>
      <diagonal/>
    </border>
    <border>
      <left style="thin">
        <color rgb="FFFEC200"/>
      </left>
      <right style="thin">
        <color rgb="FFFEC200"/>
      </right>
      <top/>
      <bottom style="medium">
        <color rgb="FFFEC200"/>
      </bottom>
      <diagonal/>
    </border>
    <border>
      <left/>
      <right style="thin">
        <color rgb="FFFEC200"/>
      </right>
      <top/>
      <bottom style="medium">
        <color rgb="FFFEC200"/>
      </bottom>
      <diagonal/>
    </border>
    <border>
      <left/>
      <right/>
      <top/>
      <bottom style="medium">
        <color rgb="FFFEC200"/>
      </bottom>
      <diagonal/>
    </border>
    <border>
      <left/>
      <right style="thin">
        <color theme="4"/>
      </right>
      <top/>
      <bottom style="thin">
        <color rgb="FF4F80BC"/>
      </bottom>
      <diagonal/>
    </border>
    <border>
      <left style="medium">
        <color rgb="FF00B3C9"/>
      </left>
      <right style="medium">
        <color rgb="FF00B3C9"/>
      </right>
      <top style="medium">
        <color rgb="FF00B3C9"/>
      </top>
      <bottom/>
      <diagonal/>
    </border>
    <border>
      <left style="medium">
        <color rgb="FF00B3C9"/>
      </left>
      <right style="thin">
        <color rgb="FF00B3C9"/>
      </right>
      <top style="medium">
        <color rgb="FF00B3C9"/>
      </top>
      <bottom/>
      <diagonal/>
    </border>
    <border>
      <left style="thin">
        <color rgb="FF00B3C9"/>
      </left>
      <right style="thin">
        <color rgb="FF00B3C9"/>
      </right>
      <top style="medium">
        <color rgb="FF00B3C9"/>
      </top>
      <bottom/>
      <diagonal/>
    </border>
    <border>
      <left/>
      <right style="thin">
        <color rgb="FF00B3C9"/>
      </right>
      <top style="medium">
        <color rgb="FF00B3C9"/>
      </top>
      <bottom/>
      <diagonal/>
    </border>
    <border>
      <left style="thin">
        <color rgb="FF00B3C9"/>
      </left>
      <right style="thin">
        <color rgb="FF00B3C9"/>
      </right>
      <top style="medium">
        <color rgb="FF00B3C9"/>
      </top>
      <bottom style="thin">
        <color rgb="FF00B3C9"/>
      </bottom>
      <diagonal/>
    </border>
    <border>
      <left/>
      <right style="thin">
        <color rgb="FF00B3C9"/>
      </right>
      <top style="medium">
        <color rgb="FF00B3C9"/>
      </top>
      <bottom style="thin">
        <color rgb="FF00B3C9"/>
      </bottom>
      <diagonal/>
    </border>
    <border>
      <left style="thin">
        <color rgb="FF4F80BC"/>
      </left>
      <right/>
      <top/>
      <bottom/>
      <diagonal/>
    </border>
    <border>
      <left style="medium">
        <color rgb="FF00B3C9"/>
      </left>
      <right/>
      <top/>
      <bottom/>
      <diagonal/>
    </border>
    <border>
      <left style="thin">
        <color rgb="FF00B3C9"/>
      </left>
      <right style="thin">
        <color rgb="FF00B3C9"/>
      </right>
      <top style="thin">
        <color rgb="FF00B3C9"/>
      </top>
      <bottom style="thin">
        <color rgb="FF00B3C9"/>
      </bottom>
      <diagonal/>
    </border>
    <border>
      <left/>
      <right style="thin">
        <color rgb="FF00B3C9"/>
      </right>
      <top style="thin">
        <color rgb="FF00B3C9"/>
      </top>
      <bottom style="thin">
        <color rgb="FF00B3C9"/>
      </bottom>
      <diagonal/>
    </border>
    <border>
      <left/>
      <right style="thin">
        <color rgb="FF00B3C9"/>
      </right>
      <top/>
      <bottom/>
      <diagonal/>
    </border>
    <border>
      <left style="thin">
        <color rgb="FF00B3C9"/>
      </left>
      <right style="medium">
        <color rgb="FF00B3C9"/>
      </right>
      <top style="thin">
        <color rgb="FF00B3C9"/>
      </top>
      <bottom style="thin">
        <color rgb="FF00B3C9"/>
      </bottom>
      <diagonal/>
    </border>
    <border>
      <left style="thin">
        <color rgb="FF00B3C9"/>
      </left>
      <right style="thin">
        <color rgb="FF00B3C9"/>
      </right>
      <top/>
      <bottom style="thin">
        <color rgb="FF00B3C9"/>
      </bottom>
      <diagonal/>
    </border>
    <border>
      <left/>
      <right style="thin">
        <color rgb="FF00B3C9"/>
      </right>
      <top/>
      <bottom style="thin">
        <color rgb="FF00B3C9"/>
      </bottom>
      <diagonal/>
    </border>
    <border>
      <left/>
      <right style="thin">
        <color rgb="FF4F80BC"/>
      </right>
      <top/>
      <bottom style="thin">
        <color rgb="FF4F80BC"/>
      </bottom>
      <diagonal/>
    </border>
    <border>
      <left style="medium">
        <color rgb="FF00B3C9"/>
      </left>
      <right style="medium">
        <color rgb="FF00B3C9"/>
      </right>
      <top/>
      <bottom style="medium">
        <color rgb="FF00B3C9"/>
      </bottom>
      <diagonal/>
    </border>
    <border>
      <left style="medium">
        <color rgb="FF00B3C9"/>
      </left>
      <right style="thin">
        <color rgb="FF00B3C9"/>
      </right>
      <top/>
      <bottom style="medium">
        <color rgb="FF00B3C9"/>
      </bottom>
      <diagonal/>
    </border>
    <border>
      <left style="thin">
        <color rgb="FF00B3C9"/>
      </left>
      <right style="thin">
        <color rgb="FF00B3C9"/>
      </right>
      <top/>
      <bottom style="medium">
        <color rgb="FF00B3C9"/>
      </bottom>
      <diagonal/>
    </border>
    <border>
      <left/>
      <right style="thin">
        <color rgb="FF00B3C9"/>
      </right>
      <top style="thin">
        <color rgb="FF00B3C9"/>
      </top>
      <bottom style="medium">
        <color rgb="FF00B3C9"/>
      </bottom>
      <diagonal/>
    </border>
    <border>
      <left/>
      <right/>
      <top/>
      <bottom style="medium">
        <color rgb="FF00B3C9"/>
      </bottom>
      <diagonal/>
    </border>
    <border>
      <left/>
      <right style="medium">
        <color rgb="FF00B3C9"/>
      </right>
      <top/>
      <bottom style="medium">
        <color rgb="FF00B3C9"/>
      </bottom>
      <diagonal/>
    </border>
    <border>
      <left style="medium">
        <color rgb="FFF4B084"/>
      </left>
      <right/>
      <top style="medium">
        <color rgb="FFF4B084"/>
      </top>
      <bottom/>
      <diagonal/>
    </border>
    <border>
      <left style="medium">
        <color rgb="FFF4B084"/>
      </left>
      <right style="thin">
        <color rgb="FFF4B084"/>
      </right>
      <top style="medium">
        <color rgb="FFF4B084"/>
      </top>
      <bottom style="thin">
        <color rgb="FFF4B084"/>
      </bottom>
      <diagonal/>
    </border>
    <border>
      <left style="thin">
        <color rgb="FFF4B084"/>
      </left>
      <right style="thin">
        <color rgb="FFF4B084"/>
      </right>
      <top style="medium">
        <color rgb="FFF4B084"/>
      </top>
      <bottom style="thin">
        <color rgb="FFF4B084"/>
      </bottom>
      <diagonal/>
    </border>
    <border>
      <left/>
      <right/>
      <top style="medium">
        <color rgb="FFF4B084"/>
      </top>
      <bottom/>
      <diagonal/>
    </border>
    <border>
      <left style="medium">
        <color rgb="FFF4B084"/>
      </left>
      <right/>
      <top/>
      <bottom/>
      <diagonal/>
    </border>
    <border>
      <left style="medium">
        <color rgb="FFF4B084"/>
      </left>
      <right style="thin">
        <color rgb="FFF4B084"/>
      </right>
      <top style="thin">
        <color rgb="FFF4B084"/>
      </top>
      <bottom style="thin">
        <color rgb="FFF4B084"/>
      </bottom>
      <diagonal/>
    </border>
    <border>
      <left style="thin">
        <color rgb="FFF4B084"/>
      </left>
      <right style="thin">
        <color rgb="FFF4B084"/>
      </right>
      <top style="thin">
        <color rgb="FFF4B084"/>
      </top>
      <bottom style="thin">
        <color rgb="FFF4B084"/>
      </bottom>
      <diagonal/>
    </border>
    <border>
      <left style="thin">
        <color rgb="FFF4B084"/>
      </left>
      <right style="medium">
        <color rgb="FFF4B084"/>
      </right>
      <top style="thin">
        <color rgb="FFF4B084"/>
      </top>
      <bottom style="thin">
        <color rgb="FFF4B084"/>
      </bottom>
      <diagonal/>
    </border>
    <border>
      <left style="medium">
        <color rgb="FFF4B084"/>
      </left>
      <right/>
      <top/>
      <bottom style="medium">
        <color rgb="FFF4B084"/>
      </bottom>
      <diagonal/>
    </border>
    <border>
      <left style="medium">
        <color rgb="FFF4B084"/>
      </left>
      <right style="thin">
        <color rgb="FFF4B084"/>
      </right>
      <top style="thin">
        <color rgb="FFF4B084"/>
      </top>
      <bottom style="medium">
        <color rgb="FFF4B084"/>
      </bottom>
      <diagonal/>
    </border>
    <border>
      <left style="thin">
        <color rgb="FFF4B084"/>
      </left>
      <right style="thin">
        <color rgb="FFF4B084"/>
      </right>
      <top style="thin">
        <color rgb="FFF4B084"/>
      </top>
      <bottom style="medium">
        <color rgb="FFF4B084"/>
      </bottom>
      <diagonal/>
    </border>
    <border>
      <left/>
      <right/>
      <top/>
      <bottom style="medium">
        <color rgb="FFF4B084"/>
      </bottom>
      <diagonal/>
    </border>
    <border>
      <left/>
      <right style="medium">
        <color rgb="FFF4B084"/>
      </right>
      <top/>
      <bottom style="medium">
        <color rgb="FFF4B084"/>
      </bottom>
      <diagonal/>
    </border>
    <border>
      <left/>
      <right/>
      <top style="thin">
        <color rgb="FF4F80BC"/>
      </top>
      <bottom/>
      <diagonal/>
    </border>
    <border>
      <left style="medium">
        <color theme="3" tint="-0.499984740745262"/>
      </left>
      <right style="medium">
        <color theme="3" tint="-0.499984740745262"/>
      </right>
      <top style="medium">
        <color theme="3" tint="-0.499984740745262"/>
      </top>
      <bottom style="medium">
        <color theme="3"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rgb="FF00B050"/>
      </bottom>
      <diagonal/>
    </border>
    <border>
      <left/>
      <right/>
      <top style="medium">
        <color rgb="FF00B050"/>
      </top>
      <bottom style="medium">
        <color rgb="FF00B050"/>
      </bottom>
      <diagonal/>
    </border>
    <border>
      <left style="medium">
        <color rgb="FF00B050"/>
      </left>
      <right/>
      <top style="medium">
        <color rgb="FF00B050"/>
      </top>
      <bottom style="medium">
        <color rgb="FF00B050"/>
      </bottom>
      <diagonal/>
    </border>
    <border>
      <left/>
      <right style="medium">
        <color rgb="FF00B050"/>
      </right>
      <top style="medium">
        <color rgb="FF00B050"/>
      </top>
      <bottom style="medium">
        <color rgb="FF00B050"/>
      </bottom>
      <diagonal/>
    </border>
    <border>
      <left style="medium">
        <color rgb="FF963534"/>
      </left>
      <right/>
      <top style="medium">
        <color rgb="FF963534"/>
      </top>
      <bottom style="medium">
        <color rgb="FF963534"/>
      </bottom>
      <diagonal/>
    </border>
    <border>
      <left/>
      <right style="medium">
        <color rgb="FF963534"/>
      </right>
      <top style="medium">
        <color rgb="FF963534"/>
      </top>
      <bottom style="medium">
        <color rgb="FF963534"/>
      </bottom>
      <diagonal/>
    </border>
    <border>
      <left style="medium">
        <color rgb="FF00B050"/>
      </left>
      <right/>
      <top/>
      <bottom style="medium">
        <color rgb="FF00B050"/>
      </bottom>
      <diagonal/>
    </border>
    <border>
      <left/>
      <right style="medium">
        <color rgb="FF00B050"/>
      </right>
      <top/>
      <bottom style="medium">
        <color rgb="FF00B050"/>
      </bottom>
      <diagonal/>
    </border>
    <border>
      <left/>
      <right style="hair">
        <color rgb="FF4E80BC"/>
      </right>
      <top/>
      <bottom style="thin">
        <color theme="4"/>
      </bottom>
      <diagonal/>
    </border>
    <border>
      <left/>
      <right style="hair">
        <color rgb="FF4E80BC"/>
      </right>
      <top/>
      <bottom/>
      <diagonal/>
    </border>
    <border>
      <left/>
      <right style="thin">
        <color rgb="FF4F80BC"/>
      </right>
      <top/>
      <bottom style="hair">
        <color rgb="FF4E80BC"/>
      </bottom>
      <diagonal/>
    </border>
    <border>
      <left/>
      <right/>
      <top/>
      <bottom style="hair">
        <color rgb="FF4E80BC"/>
      </bottom>
      <diagonal/>
    </border>
    <border>
      <left style="thin">
        <color theme="4"/>
      </left>
      <right/>
      <top/>
      <bottom style="hair">
        <color rgb="FF4E80BC"/>
      </bottom>
      <diagonal/>
    </border>
    <border>
      <left style="thin">
        <color theme="4"/>
      </left>
      <right/>
      <top/>
      <bottom/>
      <diagonal/>
    </border>
    <border>
      <left/>
      <right style="hair">
        <color rgb="FF4E80BC"/>
      </right>
      <top style="hair">
        <color rgb="FF4E80BC"/>
      </top>
      <bottom/>
      <diagonal/>
    </border>
    <border>
      <left style="medium">
        <color rgb="FFFFBE56"/>
      </left>
      <right/>
      <top/>
      <bottom/>
      <diagonal/>
    </border>
    <border>
      <left/>
      <right style="medium">
        <color rgb="FFFFBE56"/>
      </right>
      <top/>
      <bottom/>
      <diagonal/>
    </border>
    <border>
      <left style="thin">
        <color theme="1"/>
      </left>
      <right/>
      <top style="thin">
        <color theme="1"/>
      </top>
      <bottom/>
      <diagonal/>
    </border>
    <border>
      <left style="thin">
        <color theme="1"/>
      </left>
      <right/>
      <top/>
      <bottom/>
      <diagonal/>
    </border>
    <border>
      <left/>
      <right/>
      <top/>
      <bottom style="thin">
        <color theme="0" tint="-4.9989318521683403E-2"/>
      </bottom>
      <diagonal/>
    </border>
    <border>
      <left/>
      <right style="thin">
        <color theme="1"/>
      </right>
      <top/>
      <bottom style="thin">
        <color theme="0" tint="-4.9989318521683403E-2"/>
      </bottom>
      <diagonal/>
    </border>
    <border>
      <left style="thin">
        <color theme="1"/>
      </left>
      <right/>
      <top/>
      <bottom style="thin">
        <color indexed="64"/>
      </bottom>
      <diagonal/>
    </border>
    <border>
      <left/>
      <right/>
      <top/>
      <bottom style="thin">
        <color indexed="64"/>
      </bottom>
      <diagonal/>
    </border>
    <border>
      <left/>
      <right style="thin">
        <color theme="1"/>
      </right>
      <top/>
      <bottom style="thin">
        <color indexed="64"/>
      </bottom>
      <diagonal/>
    </border>
    <border>
      <left/>
      <right style="thin">
        <color theme="1"/>
      </right>
      <top style="thin">
        <color theme="1"/>
      </top>
      <bottom style="thin">
        <color theme="0"/>
      </bottom>
      <diagonal/>
    </border>
    <border>
      <left/>
      <right/>
      <top style="thin">
        <color theme="1"/>
      </top>
      <bottom style="thin">
        <color theme="0"/>
      </bottom>
      <diagonal/>
    </border>
    <border>
      <left style="thin">
        <color rgb="FFFE0200"/>
      </left>
      <right style="thin">
        <color rgb="FFFE0200"/>
      </right>
      <top style="thin">
        <color rgb="FFFE0200"/>
      </top>
      <bottom style="thin">
        <color rgb="FFFE0200"/>
      </bottom>
      <diagonal/>
    </border>
    <border>
      <left/>
      <right/>
      <top style="thin">
        <color theme="0" tint="-4.9989318521683403E-2"/>
      </top>
      <bottom style="thin">
        <color indexed="64"/>
      </bottom>
      <diagonal/>
    </border>
  </borders>
  <cellStyleXfs count="91">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0" fillId="0" borderId="0"/>
  </cellStyleXfs>
  <cellXfs count="682">
    <xf numFmtId="0" fontId="0" fillId="0" borderId="0" xfId="0"/>
    <xf numFmtId="0" fontId="0" fillId="2" borderId="0" xfId="0" applyFill="1"/>
    <xf numFmtId="0" fontId="10" fillId="4" borderId="0" xfId="0" applyFont="1" applyFill="1" applyAlignment="1" applyProtection="1">
      <alignment horizontal="center" vertical="center"/>
      <protection hidden="1"/>
    </xf>
    <xf numFmtId="0" fontId="10" fillId="4" borderId="0" xfId="0" applyFont="1" applyFill="1" applyAlignment="1" applyProtection="1">
      <alignment horizontal="left" vertical="center"/>
      <protection hidden="1"/>
    </xf>
    <xf numFmtId="0" fontId="0" fillId="2" borderId="0" xfId="0" applyFill="1" applyAlignment="1" applyProtection="1">
      <alignment horizontal="center"/>
      <protection hidden="1"/>
    </xf>
    <xf numFmtId="0" fontId="18" fillId="2" borderId="0" xfId="27" applyFont="1" applyFill="1" applyAlignment="1" applyProtection="1">
      <alignment vertical="center"/>
      <protection hidden="1"/>
    </xf>
    <xf numFmtId="0" fontId="18" fillId="2" borderId="0" xfId="27" applyFont="1"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0" fillId="6" borderId="0" xfId="0" applyFill="1" applyProtection="1">
      <protection hidden="1"/>
    </xf>
    <xf numFmtId="0" fontId="26" fillId="0" borderId="0" xfId="0" applyFont="1" applyProtection="1">
      <protection hidden="1"/>
    </xf>
    <xf numFmtId="0" fontId="0" fillId="3" borderId="15" xfId="0" applyFill="1" applyBorder="1" applyProtection="1">
      <protection hidden="1"/>
    </xf>
    <xf numFmtId="0" fontId="0" fillId="0" borderId="0" xfId="0" applyProtection="1">
      <protection locked="0" hidden="1"/>
    </xf>
    <xf numFmtId="0" fontId="0" fillId="0" borderId="0" xfId="0" quotePrefix="1" applyProtection="1">
      <protection locked="0" hidden="1"/>
    </xf>
    <xf numFmtId="14" fontId="12" fillId="9" borderId="0" xfId="0" applyNumberFormat="1" applyFont="1" applyFill="1" applyAlignment="1" applyProtection="1">
      <alignment horizontal="center" vertical="center"/>
      <protection hidden="1"/>
    </xf>
    <xf numFmtId="164" fontId="12" fillId="9" borderId="0" xfId="0" applyNumberFormat="1" applyFont="1" applyFill="1" applyAlignment="1" applyProtection="1">
      <alignment horizontal="center" vertical="center"/>
      <protection hidden="1"/>
    </xf>
    <xf numFmtId="0" fontId="8" fillId="9" borderId="5" xfId="0" applyFont="1" applyFill="1" applyBorder="1" applyAlignment="1" applyProtection="1">
      <alignment horizontal="right"/>
      <protection hidden="1"/>
    </xf>
    <xf numFmtId="0" fontId="8" fillId="9" borderId="4" xfId="0" applyFont="1" applyFill="1" applyBorder="1" applyProtection="1">
      <protection hidden="1"/>
    </xf>
    <xf numFmtId="0" fontId="7" fillId="9" borderId="5" xfId="0" applyFont="1" applyFill="1" applyBorder="1" applyProtection="1">
      <protection hidden="1"/>
    </xf>
    <xf numFmtId="14" fontId="12" fillId="11" borderId="0" xfId="0" applyNumberFormat="1" applyFont="1" applyFill="1" applyAlignment="1" applyProtection="1">
      <alignment horizontal="center" vertical="center"/>
      <protection hidden="1"/>
    </xf>
    <xf numFmtId="164" fontId="12" fillId="11" borderId="0" xfId="0" applyNumberFormat="1" applyFont="1" applyFill="1" applyAlignment="1" applyProtection="1">
      <alignment horizontal="center" vertical="center"/>
      <protection hidden="1"/>
    </xf>
    <xf numFmtId="0" fontId="8" fillId="11" borderId="5" xfId="0" applyFont="1" applyFill="1" applyBorder="1" applyAlignment="1" applyProtection="1">
      <alignment horizontal="right"/>
      <protection hidden="1"/>
    </xf>
    <xf numFmtId="0" fontId="8" fillId="11" borderId="4" xfId="0" applyFont="1" applyFill="1" applyBorder="1" applyProtection="1">
      <protection hidden="1"/>
    </xf>
    <xf numFmtId="14" fontId="12" fillId="14" borderId="0" xfId="0" applyNumberFormat="1" applyFont="1" applyFill="1" applyAlignment="1" applyProtection="1">
      <alignment horizontal="center" vertical="center"/>
      <protection hidden="1"/>
    </xf>
    <xf numFmtId="164" fontId="12" fillId="14" borderId="0" xfId="0" applyNumberFormat="1" applyFont="1" applyFill="1" applyAlignment="1" applyProtection="1">
      <alignment horizontal="center" vertical="center"/>
      <protection hidden="1"/>
    </xf>
    <xf numFmtId="0" fontId="8" fillId="14" borderId="5" xfId="0" applyFont="1" applyFill="1" applyBorder="1" applyAlignment="1" applyProtection="1">
      <alignment horizontal="right"/>
      <protection hidden="1"/>
    </xf>
    <xf numFmtId="0" fontId="8" fillId="14" borderId="4" xfId="0" applyFont="1" applyFill="1" applyBorder="1" applyProtection="1">
      <protection hidden="1"/>
    </xf>
    <xf numFmtId="0" fontId="7" fillId="14" borderId="5" xfId="0" applyFont="1" applyFill="1" applyBorder="1" applyProtection="1">
      <protection hidden="1"/>
    </xf>
    <xf numFmtId="0" fontId="8" fillId="11" borderId="5" xfId="0" applyFont="1" applyFill="1" applyBorder="1" applyProtection="1">
      <protection hidden="1"/>
    </xf>
    <xf numFmtId="14" fontId="12" fillId="9" borderId="17" xfId="0" applyNumberFormat="1" applyFont="1" applyFill="1" applyBorder="1" applyAlignment="1" applyProtection="1">
      <alignment horizontal="center" vertical="center"/>
      <protection hidden="1"/>
    </xf>
    <xf numFmtId="164" fontId="12" fillId="9" borderId="17" xfId="0" applyNumberFormat="1" applyFont="1" applyFill="1" applyBorder="1" applyAlignment="1" applyProtection="1">
      <alignment horizontal="center" vertical="center"/>
      <protection hidden="1"/>
    </xf>
    <xf numFmtId="0" fontId="8" fillId="9" borderId="18" xfId="0" applyFont="1" applyFill="1" applyBorder="1" applyAlignment="1" applyProtection="1">
      <alignment horizontal="right"/>
      <protection hidden="1"/>
    </xf>
    <xf numFmtId="0" fontId="8" fillId="9" borderId="19" xfId="0" applyFont="1" applyFill="1" applyBorder="1" applyProtection="1">
      <protection hidden="1"/>
    </xf>
    <xf numFmtId="0" fontId="7" fillId="9" borderId="18" xfId="0" applyFont="1" applyFill="1" applyBorder="1" applyProtection="1">
      <protection hidden="1"/>
    </xf>
    <xf numFmtId="0" fontId="8" fillId="9" borderId="21" xfId="0" applyFont="1" applyFill="1" applyBorder="1" applyAlignment="1" applyProtection="1">
      <alignment horizontal="left"/>
      <protection hidden="1"/>
    </xf>
    <xf numFmtId="0" fontId="8" fillId="9" borderId="23" xfId="0" applyFont="1" applyFill="1" applyBorder="1" applyAlignment="1" applyProtection="1">
      <alignment horizontal="left"/>
      <protection hidden="1"/>
    </xf>
    <xf numFmtId="14" fontId="12" fillId="9" borderId="25" xfId="0" applyNumberFormat="1" applyFont="1" applyFill="1" applyBorder="1" applyAlignment="1" applyProtection="1">
      <alignment horizontal="center" vertical="center"/>
      <protection hidden="1"/>
    </xf>
    <xf numFmtId="164" fontId="12" fillId="9" borderId="25" xfId="0" applyNumberFormat="1" applyFont="1" applyFill="1" applyBorder="1" applyAlignment="1" applyProtection="1">
      <alignment horizontal="center" vertical="center"/>
      <protection hidden="1"/>
    </xf>
    <xf numFmtId="0" fontId="8" fillId="9" borderId="26" xfId="0" applyFont="1" applyFill="1" applyBorder="1" applyAlignment="1" applyProtection="1">
      <alignment horizontal="right"/>
      <protection hidden="1"/>
    </xf>
    <xf numFmtId="0" fontId="8" fillId="9" borderId="27" xfId="0" applyFont="1" applyFill="1" applyBorder="1" applyProtection="1">
      <protection hidden="1"/>
    </xf>
    <xf numFmtId="0" fontId="7" fillId="9" borderId="26" xfId="0" applyFont="1" applyFill="1" applyBorder="1" applyProtection="1">
      <protection hidden="1"/>
    </xf>
    <xf numFmtId="0" fontId="8" fillId="9" borderId="29" xfId="0" applyFont="1" applyFill="1" applyBorder="1" applyAlignment="1" applyProtection="1">
      <alignment horizontal="left"/>
      <protection hidden="1"/>
    </xf>
    <xf numFmtId="14" fontId="12" fillId="11" borderId="31" xfId="0" applyNumberFormat="1" applyFont="1" applyFill="1" applyBorder="1" applyAlignment="1" applyProtection="1">
      <alignment horizontal="center" vertical="center"/>
      <protection hidden="1"/>
    </xf>
    <xf numFmtId="164" fontId="12" fillId="11" borderId="31" xfId="0" applyNumberFormat="1" applyFont="1" applyFill="1" applyBorder="1" applyAlignment="1" applyProtection="1">
      <alignment horizontal="center" vertical="center"/>
      <protection hidden="1"/>
    </xf>
    <xf numFmtId="0" fontId="8" fillId="11" borderId="32" xfId="0" applyFont="1" applyFill="1" applyBorder="1" applyAlignment="1" applyProtection="1">
      <alignment horizontal="right"/>
      <protection hidden="1"/>
    </xf>
    <xf numFmtId="0" fontId="8" fillId="11" borderId="33" xfId="0" applyFont="1" applyFill="1" applyBorder="1" applyProtection="1">
      <protection hidden="1"/>
    </xf>
    <xf numFmtId="0" fontId="8" fillId="11" borderId="32" xfId="0" applyFont="1" applyFill="1" applyBorder="1" applyProtection="1">
      <protection hidden="1"/>
    </xf>
    <xf numFmtId="0" fontId="8" fillId="11" borderId="35" xfId="0" applyFont="1" applyFill="1" applyBorder="1" applyAlignment="1" applyProtection="1">
      <alignment horizontal="left"/>
      <protection hidden="1"/>
    </xf>
    <xf numFmtId="0" fontId="8" fillId="11" borderId="37" xfId="0" applyFont="1" applyFill="1" applyBorder="1" applyAlignment="1" applyProtection="1">
      <alignment horizontal="left"/>
      <protection hidden="1"/>
    </xf>
    <xf numFmtId="14" fontId="12" fillId="11" borderId="39" xfId="0" applyNumberFormat="1" applyFont="1" applyFill="1" applyBorder="1" applyAlignment="1" applyProtection="1">
      <alignment horizontal="center" vertical="center"/>
      <protection hidden="1"/>
    </xf>
    <xf numFmtId="164" fontId="12" fillId="11" borderId="39" xfId="0" applyNumberFormat="1" applyFont="1" applyFill="1" applyBorder="1" applyAlignment="1" applyProtection="1">
      <alignment horizontal="center" vertical="center"/>
      <protection hidden="1"/>
    </xf>
    <xf numFmtId="0" fontId="8" fillId="11" borderId="40" xfId="0" applyFont="1" applyFill="1" applyBorder="1" applyAlignment="1" applyProtection="1">
      <alignment horizontal="right"/>
      <protection hidden="1"/>
    </xf>
    <xf numFmtId="0" fontId="8" fillId="11" borderId="41" xfId="0" applyFont="1" applyFill="1" applyBorder="1" applyProtection="1">
      <protection hidden="1"/>
    </xf>
    <xf numFmtId="0" fontId="8" fillId="11" borderId="40" xfId="0" applyFont="1" applyFill="1" applyBorder="1" applyProtection="1">
      <protection hidden="1"/>
    </xf>
    <xf numFmtId="0" fontId="8" fillId="11" borderId="43" xfId="0" applyFont="1" applyFill="1" applyBorder="1" applyAlignment="1" applyProtection="1">
      <alignment horizontal="left"/>
      <protection hidden="1"/>
    </xf>
    <xf numFmtId="14" fontId="12" fillId="14" borderId="45" xfId="0" applyNumberFormat="1" applyFont="1" applyFill="1" applyBorder="1" applyAlignment="1" applyProtection="1">
      <alignment horizontal="center" vertical="center"/>
      <protection hidden="1"/>
    </xf>
    <xf numFmtId="164" fontId="12" fillId="14" borderId="45" xfId="0" applyNumberFormat="1" applyFont="1" applyFill="1" applyBorder="1" applyAlignment="1" applyProtection="1">
      <alignment horizontal="center" vertical="center"/>
      <protection hidden="1"/>
    </xf>
    <xf numFmtId="0" fontId="8" fillId="14" borderId="46" xfId="0" applyFont="1" applyFill="1" applyBorder="1" applyAlignment="1" applyProtection="1">
      <alignment horizontal="right"/>
      <protection hidden="1"/>
    </xf>
    <xf numFmtId="0" fontId="8" fillId="14" borderId="47" xfId="0" applyFont="1" applyFill="1" applyBorder="1" applyProtection="1">
      <protection hidden="1"/>
    </xf>
    <xf numFmtId="0" fontId="7" fillId="14" borderId="46" xfId="0" applyFont="1" applyFill="1" applyBorder="1" applyProtection="1">
      <protection hidden="1"/>
    </xf>
    <xf numFmtId="0" fontId="8" fillId="14" borderId="49" xfId="0" applyFont="1" applyFill="1" applyBorder="1" applyAlignment="1" applyProtection="1">
      <alignment horizontal="left"/>
      <protection hidden="1"/>
    </xf>
    <xf numFmtId="0" fontId="8" fillId="14" borderId="51" xfId="0" applyFont="1" applyFill="1" applyBorder="1" applyAlignment="1" applyProtection="1">
      <alignment horizontal="left"/>
      <protection hidden="1"/>
    </xf>
    <xf numFmtId="14" fontId="12" fillId="14" borderId="53" xfId="0" applyNumberFormat="1" applyFont="1" applyFill="1" applyBorder="1" applyAlignment="1" applyProtection="1">
      <alignment horizontal="center" vertical="center"/>
      <protection hidden="1"/>
    </xf>
    <xf numFmtId="164" fontId="12" fillId="14" borderId="53" xfId="0" applyNumberFormat="1" applyFont="1" applyFill="1" applyBorder="1" applyAlignment="1" applyProtection="1">
      <alignment horizontal="center" vertical="center"/>
      <protection hidden="1"/>
    </xf>
    <xf numFmtId="0" fontId="8" fillId="14" borderId="54" xfId="0" applyFont="1" applyFill="1" applyBorder="1" applyAlignment="1" applyProtection="1">
      <alignment horizontal="right"/>
      <protection hidden="1"/>
    </xf>
    <xf numFmtId="0" fontId="8" fillId="14" borderId="55" xfId="0" applyFont="1" applyFill="1" applyBorder="1" applyProtection="1">
      <protection hidden="1"/>
    </xf>
    <xf numFmtId="0" fontId="7" fillId="14" borderId="54" xfId="0" applyFont="1" applyFill="1" applyBorder="1" applyProtection="1">
      <protection hidden="1"/>
    </xf>
    <xf numFmtId="0" fontId="8" fillId="14" borderId="57" xfId="0" applyFont="1" applyFill="1" applyBorder="1" applyAlignment="1" applyProtection="1">
      <alignment horizontal="left"/>
      <protection hidden="1"/>
    </xf>
    <xf numFmtId="0" fontId="3" fillId="15" borderId="0" xfId="0" applyFont="1" applyFill="1" applyAlignment="1" applyProtection="1">
      <alignment vertical="center"/>
      <protection hidden="1"/>
    </xf>
    <xf numFmtId="0" fontId="3" fillId="15" borderId="0" xfId="0" applyFont="1" applyFill="1" applyAlignment="1" applyProtection="1">
      <alignment horizontal="centerContinuous" vertical="center"/>
      <protection hidden="1"/>
    </xf>
    <xf numFmtId="0" fontId="4" fillId="15" borderId="0" xfId="0" applyFont="1" applyFill="1" applyProtection="1">
      <protection hidden="1"/>
    </xf>
    <xf numFmtId="0" fontId="4" fillId="15" borderId="0" xfId="0" applyFont="1" applyFill="1" applyAlignment="1" applyProtection="1">
      <alignment horizontal="center"/>
      <protection hidden="1"/>
    </xf>
    <xf numFmtId="0" fontId="10" fillId="15" borderId="0" xfId="0" applyFont="1" applyFill="1" applyAlignment="1" applyProtection="1">
      <alignment horizontal="center"/>
      <protection hidden="1"/>
    </xf>
    <xf numFmtId="0" fontId="13" fillId="15" borderId="0" xfId="0" applyFont="1" applyFill="1" applyAlignment="1" applyProtection="1">
      <alignment horizontal="left" vertical="center"/>
      <protection hidden="1"/>
    </xf>
    <xf numFmtId="0" fontId="22" fillId="15" borderId="0" xfId="0" applyFont="1" applyFill="1" applyAlignment="1" applyProtection="1">
      <alignment horizontal="center" vertical="center"/>
      <protection locked="0" hidden="1"/>
    </xf>
    <xf numFmtId="0" fontId="13" fillId="15" borderId="0" xfId="0" applyFont="1" applyFill="1" applyAlignment="1" applyProtection="1">
      <alignment horizontal="center" vertical="center"/>
      <protection hidden="1"/>
    </xf>
    <xf numFmtId="0" fontId="22" fillId="15" borderId="0" xfId="0" applyFont="1" applyFill="1" applyAlignment="1" applyProtection="1">
      <alignment horizontal="center" vertical="center"/>
      <protection hidden="1"/>
    </xf>
    <xf numFmtId="0" fontId="7" fillId="15" borderId="0" xfId="0" applyFont="1" applyFill="1" applyProtection="1">
      <protection hidden="1"/>
    </xf>
    <xf numFmtId="0" fontId="25" fillId="15" borderId="0" xfId="0" applyFont="1" applyFill="1" applyAlignment="1" applyProtection="1">
      <alignment vertical="center"/>
      <protection hidden="1"/>
    </xf>
    <xf numFmtId="14" fontId="8" fillId="15" borderId="0" xfId="0" applyNumberFormat="1" applyFont="1" applyFill="1" applyProtection="1">
      <protection hidden="1"/>
    </xf>
    <xf numFmtId="0" fontId="29" fillId="15" borderId="0" xfId="0" applyFont="1" applyFill="1" applyAlignment="1" applyProtection="1">
      <alignment vertical="center"/>
      <protection hidden="1"/>
    </xf>
    <xf numFmtId="14" fontId="24" fillId="15" borderId="0" xfId="0" applyNumberFormat="1" applyFont="1" applyFill="1" applyProtection="1">
      <protection hidden="1"/>
    </xf>
    <xf numFmtId="14" fontId="8" fillId="15" borderId="0" xfId="0" applyNumberFormat="1" applyFont="1" applyFill="1" applyAlignment="1" applyProtection="1">
      <alignment horizontal="center" vertical="center"/>
      <protection hidden="1"/>
    </xf>
    <xf numFmtId="0" fontId="8" fillId="15" borderId="0" xfId="0" applyFont="1" applyFill="1" applyAlignment="1" applyProtection="1">
      <alignment horizontal="right"/>
      <protection hidden="1"/>
    </xf>
    <xf numFmtId="0" fontId="8" fillId="15" borderId="0" xfId="0" applyFont="1" applyFill="1" applyProtection="1">
      <protection hidden="1"/>
    </xf>
    <xf numFmtId="0" fontId="9" fillId="15" borderId="0" xfId="0" applyFont="1" applyFill="1" applyAlignment="1" applyProtection="1">
      <alignment horizontal="center"/>
      <protection hidden="1"/>
    </xf>
    <xf numFmtId="0" fontId="8" fillId="15" borderId="0" xfId="0" applyFont="1" applyFill="1" applyAlignment="1" applyProtection="1">
      <alignment horizontal="left"/>
      <protection hidden="1"/>
    </xf>
    <xf numFmtId="0" fontId="12" fillId="15" borderId="0" xfId="0" applyFont="1" applyFill="1" applyAlignment="1" applyProtection="1">
      <alignment horizontal="center" vertical="center"/>
      <protection hidden="1"/>
    </xf>
    <xf numFmtId="0" fontId="9" fillId="15" borderId="0" xfId="0" applyFont="1" applyFill="1" applyProtection="1">
      <protection hidden="1"/>
    </xf>
    <xf numFmtId="0" fontId="9" fillId="15" borderId="0" xfId="0" applyFont="1" applyFill="1" applyAlignment="1" applyProtection="1">
      <alignment horizontal="center" vertical="top"/>
      <protection hidden="1"/>
    </xf>
    <xf numFmtId="0" fontId="9" fillId="15" borderId="0" xfId="0" applyFont="1" applyFill="1" applyAlignment="1" applyProtection="1">
      <alignment vertical="center"/>
      <protection hidden="1"/>
    </xf>
    <xf numFmtId="0" fontId="9" fillId="15" borderId="0" xfId="0" applyFont="1" applyFill="1" applyAlignment="1" applyProtection="1">
      <alignment horizontal="centerContinuous" vertical="center"/>
      <protection hidden="1"/>
    </xf>
    <xf numFmtId="0" fontId="31" fillId="15" borderId="0" xfId="0" applyFont="1" applyFill="1" applyAlignment="1" applyProtection="1">
      <alignment vertical="center"/>
      <protection hidden="1"/>
    </xf>
    <xf numFmtId="0" fontId="32" fillId="15" borderId="0" xfId="0" applyFont="1" applyFill="1" applyAlignment="1" applyProtection="1">
      <alignment horizontal="center"/>
      <protection hidden="1"/>
    </xf>
    <xf numFmtId="0" fontId="27" fillId="15" borderId="0" xfId="0" applyFont="1" applyFill="1" applyAlignment="1" applyProtection="1">
      <alignment horizontal="left" vertical="center"/>
      <protection hidden="1"/>
    </xf>
    <xf numFmtId="0" fontId="8" fillId="15" borderId="0" xfId="0" applyFont="1" applyFill="1" applyAlignment="1" applyProtection="1">
      <alignment horizontal="center" vertical="center"/>
      <protection hidden="1"/>
    </xf>
    <xf numFmtId="0" fontId="8" fillId="15" borderId="0" xfId="0" applyFont="1" applyFill="1" applyAlignment="1" applyProtection="1">
      <alignment horizontal="left" vertical="center"/>
      <protection hidden="1"/>
    </xf>
    <xf numFmtId="0" fontId="9" fillId="15" borderId="0" xfId="0" applyFont="1" applyFill="1" applyAlignment="1" applyProtection="1">
      <alignment horizontal="center" vertical="center"/>
      <protection hidden="1"/>
    </xf>
    <xf numFmtId="0" fontId="10" fillId="4" borderId="16" xfId="0" applyFont="1" applyFill="1" applyBorder="1" applyAlignment="1" applyProtection="1">
      <alignment horizontal="center" vertical="center"/>
      <protection hidden="1"/>
    </xf>
    <xf numFmtId="0" fontId="10" fillId="4" borderId="17" xfId="0" applyFont="1" applyFill="1" applyBorder="1" applyAlignment="1" applyProtection="1">
      <alignment horizontal="left" vertical="center"/>
      <protection hidden="1"/>
    </xf>
    <xf numFmtId="0" fontId="10" fillId="4" borderId="17" xfId="0" applyFont="1" applyFill="1" applyBorder="1" applyAlignment="1" applyProtection="1">
      <alignment horizontal="center" vertical="center"/>
      <protection hidden="1"/>
    </xf>
    <xf numFmtId="0" fontId="10" fillId="4" borderId="21" xfId="0" applyFont="1" applyFill="1" applyBorder="1" applyAlignment="1" applyProtection="1">
      <alignment horizontal="center" vertical="center"/>
      <protection hidden="1"/>
    </xf>
    <xf numFmtId="0" fontId="10" fillId="4" borderId="22" xfId="0" applyFont="1" applyFill="1" applyBorder="1" applyAlignment="1" applyProtection="1">
      <alignment horizontal="center" vertical="center"/>
      <protection hidden="1"/>
    </xf>
    <xf numFmtId="0" fontId="10" fillId="4" borderId="23" xfId="0" applyFont="1" applyFill="1" applyBorder="1" applyAlignment="1" applyProtection="1">
      <alignment horizontal="center" vertical="center"/>
      <protection hidden="1"/>
    </xf>
    <xf numFmtId="0" fontId="10" fillId="4" borderId="24" xfId="0" applyFont="1" applyFill="1" applyBorder="1" applyAlignment="1" applyProtection="1">
      <alignment horizontal="center" vertical="center"/>
      <protection hidden="1"/>
    </xf>
    <xf numFmtId="0" fontId="10" fillId="4" borderId="25" xfId="0" applyFont="1" applyFill="1" applyBorder="1" applyAlignment="1" applyProtection="1">
      <alignment horizontal="left" vertical="center"/>
      <protection hidden="1"/>
    </xf>
    <xf numFmtId="0" fontId="10" fillId="4" borderId="25" xfId="0" applyFont="1" applyFill="1" applyBorder="1" applyAlignment="1" applyProtection="1">
      <alignment horizontal="center" vertical="center"/>
      <protection hidden="1"/>
    </xf>
    <xf numFmtId="0" fontId="10" fillId="4" borderId="29" xfId="0" applyFont="1" applyFill="1" applyBorder="1" applyAlignment="1" applyProtection="1">
      <alignment horizontal="center" vertical="center"/>
      <protection hidden="1"/>
    </xf>
    <xf numFmtId="0" fontId="9" fillId="10" borderId="16" xfId="0" applyFont="1" applyFill="1" applyBorder="1" applyAlignment="1" applyProtection="1">
      <alignment horizontal="centerContinuous"/>
      <protection hidden="1"/>
    </xf>
    <xf numFmtId="0" fontId="9" fillId="10" borderId="17" xfId="0" applyFont="1" applyFill="1" applyBorder="1" applyAlignment="1" applyProtection="1">
      <alignment horizontal="centerContinuous"/>
      <protection hidden="1"/>
    </xf>
    <xf numFmtId="0" fontId="9" fillId="10" borderId="21" xfId="0" applyFont="1" applyFill="1" applyBorder="1" applyAlignment="1" applyProtection="1">
      <alignment horizontal="centerContinuous"/>
      <protection hidden="1"/>
    </xf>
    <xf numFmtId="0" fontId="9" fillId="10" borderId="24" xfId="0" applyFont="1" applyFill="1" applyBorder="1" applyAlignment="1" applyProtection="1">
      <alignment horizontal="center" vertical="center"/>
      <protection hidden="1"/>
    </xf>
    <xf numFmtId="0" fontId="9" fillId="10" borderId="25" xfId="0" applyFont="1" applyFill="1" applyBorder="1" applyAlignment="1" applyProtection="1">
      <alignment horizontal="left" vertical="center"/>
      <protection hidden="1"/>
    </xf>
    <xf numFmtId="0" fontId="9" fillId="10" borderId="25" xfId="0" applyFont="1" applyFill="1" applyBorder="1" applyAlignment="1" applyProtection="1">
      <alignment horizontal="center" vertical="center"/>
      <protection hidden="1"/>
    </xf>
    <xf numFmtId="0" fontId="9" fillId="10" borderId="29" xfId="0" applyFont="1" applyFill="1" applyBorder="1" applyAlignment="1" applyProtection="1">
      <alignment horizontal="center" vertical="center"/>
      <protection hidden="1"/>
    </xf>
    <xf numFmtId="0" fontId="9" fillId="12" borderId="30" xfId="0" applyFont="1" applyFill="1" applyBorder="1" applyAlignment="1" applyProtection="1">
      <alignment horizontal="centerContinuous"/>
      <protection hidden="1"/>
    </xf>
    <xf numFmtId="0" fontId="9" fillId="12" borderId="31" xfId="0" applyFont="1" applyFill="1" applyBorder="1" applyAlignment="1" applyProtection="1">
      <alignment horizontal="centerContinuous"/>
      <protection hidden="1"/>
    </xf>
    <xf numFmtId="0" fontId="9" fillId="12" borderId="35" xfId="0" applyFont="1" applyFill="1" applyBorder="1" applyAlignment="1" applyProtection="1">
      <alignment horizontal="centerContinuous"/>
      <protection hidden="1"/>
    </xf>
    <xf numFmtId="0" fontId="9" fillId="12" borderId="38" xfId="0" applyFont="1" applyFill="1" applyBorder="1" applyAlignment="1" applyProtection="1">
      <alignment horizontal="center" vertical="center"/>
      <protection hidden="1"/>
    </xf>
    <xf numFmtId="0" fontId="9" fillId="12" borderId="39" xfId="0" applyFont="1" applyFill="1" applyBorder="1" applyAlignment="1" applyProtection="1">
      <alignment horizontal="left" vertical="center"/>
      <protection hidden="1"/>
    </xf>
    <xf numFmtId="0" fontId="9" fillId="12" borderId="39" xfId="0" applyFont="1" applyFill="1" applyBorder="1" applyAlignment="1" applyProtection="1">
      <alignment horizontal="center" vertical="center"/>
      <protection hidden="1"/>
    </xf>
    <xf numFmtId="0" fontId="9" fillId="12" borderId="43" xfId="0" applyFont="1" applyFill="1" applyBorder="1" applyAlignment="1" applyProtection="1">
      <alignment horizontal="center" vertical="center"/>
      <protection hidden="1"/>
    </xf>
    <xf numFmtId="0" fontId="10" fillId="4" borderId="30" xfId="0" applyFont="1" applyFill="1" applyBorder="1" applyAlignment="1" applyProtection="1">
      <alignment horizontal="center" vertical="center"/>
      <protection hidden="1"/>
    </xf>
    <xf numFmtId="0" fontId="10" fillId="4" borderId="31" xfId="0" applyFont="1" applyFill="1" applyBorder="1" applyAlignment="1" applyProtection="1">
      <alignment horizontal="left" vertical="center"/>
      <protection hidden="1"/>
    </xf>
    <xf numFmtId="0" fontId="10" fillId="4" borderId="31" xfId="0" applyFont="1" applyFill="1" applyBorder="1" applyAlignment="1" applyProtection="1">
      <alignment horizontal="center" vertical="center"/>
      <protection hidden="1"/>
    </xf>
    <xf numFmtId="0" fontId="10" fillId="4" borderId="35" xfId="0" applyFont="1" applyFill="1" applyBorder="1" applyAlignment="1" applyProtection="1">
      <alignment horizontal="center" vertical="center"/>
      <protection hidden="1"/>
    </xf>
    <xf numFmtId="0" fontId="10" fillId="4" borderId="36" xfId="0" applyFont="1" applyFill="1" applyBorder="1" applyAlignment="1" applyProtection="1">
      <alignment horizontal="center" vertical="center"/>
      <protection hidden="1"/>
    </xf>
    <xf numFmtId="0" fontId="10" fillId="4" borderId="37" xfId="0" applyFont="1" applyFill="1" applyBorder="1" applyAlignment="1" applyProtection="1">
      <alignment horizontal="center" vertical="center"/>
      <protection hidden="1"/>
    </xf>
    <xf numFmtId="0" fontId="10" fillId="4" borderId="38" xfId="0" applyFont="1" applyFill="1" applyBorder="1" applyAlignment="1" applyProtection="1">
      <alignment horizontal="center" vertical="center"/>
      <protection hidden="1"/>
    </xf>
    <xf numFmtId="0" fontId="10" fillId="4" borderId="39" xfId="0" applyFont="1" applyFill="1" applyBorder="1" applyAlignment="1" applyProtection="1">
      <alignment horizontal="left" vertical="center"/>
      <protection hidden="1"/>
    </xf>
    <xf numFmtId="0" fontId="10" fillId="4" borderId="39" xfId="0" applyFont="1" applyFill="1" applyBorder="1" applyAlignment="1" applyProtection="1">
      <alignment horizontal="center" vertical="center"/>
      <protection hidden="1"/>
    </xf>
    <xf numFmtId="0" fontId="10" fillId="4" borderId="43" xfId="0" applyFont="1" applyFill="1" applyBorder="1" applyAlignment="1" applyProtection="1">
      <alignment horizontal="center" vertical="center"/>
      <protection hidden="1"/>
    </xf>
    <xf numFmtId="0" fontId="9" fillId="13" borderId="44" xfId="0" applyFont="1" applyFill="1" applyBorder="1" applyAlignment="1" applyProtection="1">
      <alignment horizontal="centerContinuous"/>
      <protection hidden="1"/>
    </xf>
    <xf numFmtId="0" fontId="9" fillId="13" borderId="45" xfId="0" applyFont="1" applyFill="1" applyBorder="1" applyAlignment="1" applyProtection="1">
      <alignment horizontal="centerContinuous"/>
      <protection hidden="1"/>
    </xf>
    <xf numFmtId="0" fontId="9" fillId="13" borderId="49" xfId="0" applyFont="1" applyFill="1" applyBorder="1" applyAlignment="1" applyProtection="1">
      <alignment horizontal="centerContinuous"/>
      <protection hidden="1"/>
    </xf>
    <xf numFmtId="0" fontId="9" fillId="13" borderId="52" xfId="0" applyFont="1" applyFill="1" applyBorder="1" applyAlignment="1" applyProtection="1">
      <alignment horizontal="center" vertical="center"/>
      <protection hidden="1"/>
    </xf>
    <xf numFmtId="0" fontId="9" fillId="13" borderId="53" xfId="0" applyFont="1" applyFill="1" applyBorder="1" applyAlignment="1" applyProtection="1">
      <alignment horizontal="left" vertical="center"/>
      <protection hidden="1"/>
    </xf>
    <xf numFmtId="0" fontId="9" fillId="13" borderId="57" xfId="0" applyFont="1" applyFill="1" applyBorder="1" applyAlignment="1" applyProtection="1">
      <alignment horizontal="center" vertical="center"/>
      <protection hidden="1"/>
    </xf>
    <xf numFmtId="0" fontId="10" fillId="4" borderId="44" xfId="0" applyFont="1" applyFill="1" applyBorder="1" applyAlignment="1" applyProtection="1">
      <alignment horizontal="center" vertical="center"/>
      <protection hidden="1"/>
    </xf>
    <xf numFmtId="0" fontId="10" fillId="4" borderId="45" xfId="0" applyFont="1" applyFill="1" applyBorder="1" applyAlignment="1" applyProtection="1">
      <alignment horizontal="left" vertical="center"/>
      <protection hidden="1"/>
    </xf>
    <xf numFmtId="0" fontId="10" fillId="4" borderId="45" xfId="0" applyFont="1" applyFill="1" applyBorder="1" applyAlignment="1" applyProtection="1">
      <alignment horizontal="center" vertical="center"/>
      <protection hidden="1"/>
    </xf>
    <xf numFmtId="0" fontId="10" fillId="4" borderId="49" xfId="0" applyFont="1" applyFill="1" applyBorder="1" applyAlignment="1" applyProtection="1">
      <alignment horizontal="center" vertical="center"/>
      <protection hidden="1"/>
    </xf>
    <xf numFmtId="0" fontId="10" fillId="4" borderId="50" xfId="0" applyFont="1" applyFill="1" applyBorder="1" applyAlignment="1" applyProtection="1">
      <alignment horizontal="center" vertical="center"/>
      <protection hidden="1"/>
    </xf>
    <xf numFmtId="0" fontId="10" fillId="4" borderId="51" xfId="0" applyFont="1" applyFill="1" applyBorder="1" applyAlignment="1" applyProtection="1">
      <alignment horizontal="center" vertical="center"/>
      <protection hidden="1"/>
    </xf>
    <xf numFmtId="0" fontId="10" fillId="4" borderId="52" xfId="0" applyFont="1" applyFill="1" applyBorder="1" applyAlignment="1" applyProtection="1">
      <alignment horizontal="center" vertical="center"/>
      <protection hidden="1"/>
    </xf>
    <xf numFmtId="0" fontId="10" fillId="4" borderId="53" xfId="0" applyFont="1" applyFill="1" applyBorder="1" applyAlignment="1" applyProtection="1">
      <alignment horizontal="left" vertical="center"/>
      <protection hidden="1"/>
    </xf>
    <xf numFmtId="0" fontId="10" fillId="4" borderId="53" xfId="0" applyFont="1" applyFill="1" applyBorder="1" applyAlignment="1" applyProtection="1">
      <alignment horizontal="center" vertical="center"/>
      <protection hidden="1"/>
    </xf>
    <xf numFmtId="0" fontId="10" fillId="4" borderId="57" xfId="0" applyFont="1" applyFill="1" applyBorder="1" applyAlignment="1" applyProtection="1">
      <alignment horizontal="center" vertical="center"/>
      <protection hidden="1"/>
    </xf>
    <xf numFmtId="0" fontId="11" fillId="15" borderId="0" xfId="0" applyFont="1" applyFill="1" applyAlignment="1" applyProtection="1">
      <alignment vertical="center" wrapText="1"/>
      <protection hidden="1"/>
    </xf>
    <xf numFmtId="0" fontId="4" fillId="15" borderId="0" xfId="0" applyFont="1" applyFill="1" applyAlignment="1" applyProtection="1">
      <alignment horizontal="center" wrapText="1"/>
      <protection hidden="1"/>
    </xf>
    <xf numFmtId="0" fontId="0" fillId="15" borderId="0" xfId="0" applyFill="1" applyProtection="1">
      <protection hidden="1"/>
    </xf>
    <xf numFmtId="0" fontId="31" fillId="15" borderId="0" xfId="0" applyFont="1" applyFill="1" applyAlignment="1" applyProtection="1">
      <alignment horizontal="centerContinuous" vertical="center"/>
      <protection hidden="1"/>
    </xf>
    <xf numFmtId="0" fontId="27" fillId="15" borderId="0" xfId="0" applyFont="1" applyFill="1" applyAlignment="1" applyProtection="1">
      <alignment horizontal="center"/>
      <protection hidden="1"/>
    </xf>
    <xf numFmtId="0" fontId="9" fillId="15" borderId="0" xfId="0" applyFont="1" applyFill="1" applyAlignment="1" applyProtection="1">
      <alignment horizontal="right"/>
      <protection hidden="1"/>
    </xf>
    <xf numFmtId="0" fontId="9" fillId="15" borderId="0" xfId="0" applyFont="1" applyFill="1" applyAlignment="1" applyProtection="1">
      <alignment horizontal="left" vertical="center"/>
      <protection hidden="1"/>
    </xf>
    <xf numFmtId="0" fontId="14" fillId="15" borderId="0" xfId="0" applyFont="1" applyFill="1" applyAlignment="1" applyProtection="1">
      <alignment vertical="center"/>
      <protection hidden="1"/>
    </xf>
    <xf numFmtId="0" fontId="0" fillId="15" borderId="0" xfId="0" applyFill="1" applyAlignment="1" applyProtection="1">
      <alignment vertical="center"/>
      <protection hidden="1"/>
    </xf>
    <xf numFmtId="0" fontId="2" fillId="15" borderId="0" xfId="0" applyFont="1" applyFill="1" applyAlignment="1" applyProtection="1">
      <alignment vertical="center"/>
      <protection hidden="1"/>
    </xf>
    <xf numFmtId="14" fontId="12" fillId="8" borderId="67" xfId="0" quotePrefix="1" applyNumberFormat="1" applyFont="1" applyFill="1" applyBorder="1" applyAlignment="1" applyProtection="1">
      <alignment horizontal="center" vertical="center"/>
      <protection hidden="1"/>
    </xf>
    <xf numFmtId="164" fontId="12" fillId="8" borderId="67" xfId="0" quotePrefix="1" applyNumberFormat="1" applyFont="1" applyFill="1" applyBorder="1" applyAlignment="1" applyProtection="1">
      <alignment horizontal="center" vertical="center"/>
      <protection hidden="1"/>
    </xf>
    <xf numFmtId="14" fontId="12" fillId="8" borderId="67" xfId="0" applyNumberFormat="1" applyFont="1" applyFill="1" applyBorder="1" applyAlignment="1" applyProtection="1">
      <alignment horizontal="center" vertical="center"/>
      <protection hidden="1"/>
    </xf>
    <xf numFmtId="0" fontId="8" fillId="8" borderId="68" xfId="0" applyFont="1" applyFill="1" applyBorder="1" applyAlignment="1" applyProtection="1">
      <alignment horizontal="right" vertical="center"/>
      <protection hidden="1"/>
    </xf>
    <xf numFmtId="0" fontId="32" fillId="15" borderId="0" xfId="0" applyFont="1" applyFill="1" applyAlignment="1" applyProtection="1">
      <alignment vertical="center"/>
      <protection hidden="1"/>
    </xf>
    <xf numFmtId="14" fontId="36" fillId="17" borderId="66" xfId="0" quotePrefix="1" applyNumberFormat="1" applyFont="1" applyFill="1" applyBorder="1" applyAlignment="1" applyProtection="1">
      <alignment horizontal="center" vertical="center"/>
      <protection hidden="1"/>
    </xf>
    <xf numFmtId="0" fontId="37" fillId="15" borderId="0" xfId="0" applyFont="1" applyFill="1" applyProtection="1">
      <protection hidden="1"/>
    </xf>
    <xf numFmtId="14" fontId="12" fillId="18" borderId="0" xfId="0" applyNumberFormat="1" applyFont="1" applyFill="1" applyAlignment="1" applyProtection="1">
      <alignment horizontal="center" vertical="center"/>
      <protection hidden="1"/>
    </xf>
    <xf numFmtId="164" fontId="12" fillId="18" borderId="0" xfId="0" applyNumberFormat="1" applyFont="1" applyFill="1" applyAlignment="1" applyProtection="1">
      <alignment horizontal="center" vertical="center"/>
      <protection hidden="1"/>
    </xf>
    <xf numFmtId="14" fontId="12" fillId="18" borderId="4" xfId="0" applyNumberFormat="1" applyFont="1" applyFill="1" applyBorder="1" applyAlignment="1" applyProtection="1">
      <alignment horizontal="center" vertical="center"/>
      <protection hidden="1"/>
    </xf>
    <xf numFmtId="0" fontId="8" fillId="18" borderId="5" xfId="0" applyFont="1" applyFill="1" applyBorder="1" applyAlignment="1" applyProtection="1">
      <alignment horizontal="right" vertical="center"/>
      <protection hidden="1"/>
    </xf>
    <xf numFmtId="0" fontId="9" fillId="18" borderId="0" xfId="0" applyFont="1" applyFill="1" applyAlignment="1" applyProtection="1">
      <alignment horizontal="center"/>
      <protection locked="0" hidden="1"/>
    </xf>
    <xf numFmtId="49" fontId="12" fillId="18" borderId="4" xfId="0" applyNumberFormat="1" applyFont="1" applyFill="1" applyBorder="1" applyAlignment="1" applyProtection="1">
      <alignment horizontal="center" vertical="center"/>
      <protection hidden="1"/>
    </xf>
    <xf numFmtId="0" fontId="20" fillId="8" borderId="0" xfId="0" applyFont="1" applyFill="1" applyAlignment="1" applyProtection="1">
      <alignment horizontal="left" vertical="center"/>
      <protection hidden="1"/>
    </xf>
    <xf numFmtId="0" fontId="28" fillId="5" borderId="78" xfId="0" applyFont="1" applyFill="1" applyBorder="1" applyAlignment="1" applyProtection="1">
      <alignment horizontal="left" vertical="center"/>
      <protection hidden="1"/>
    </xf>
    <xf numFmtId="0" fontId="28" fillId="5" borderId="79" xfId="0" applyFont="1" applyFill="1" applyBorder="1" applyAlignment="1" applyProtection="1">
      <alignment horizontal="left" vertical="center"/>
      <protection hidden="1"/>
    </xf>
    <xf numFmtId="0" fontId="20" fillId="8" borderId="83" xfId="0" applyFont="1" applyFill="1" applyBorder="1" applyAlignment="1" applyProtection="1">
      <alignment horizontal="left" vertical="center"/>
      <protection hidden="1"/>
    </xf>
    <xf numFmtId="0" fontId="20" fillId="8" borderId="84" xfId="0" applyFont="1" applyFill="1" applyBorder="1" applyAlignment="1" applyProtection="1">
      <alignment horizontal="left" vertical="center"/>
      <protection hidden="1"/>
    </xf>
    <xf numFmtId="14" fontId="12" fillId="18" borderId="59" xfId="0" quotePrefix="1" applyNumberFormat="1" applyFont="1" applyFill="1" applyBorder="1" applyAlignment="1" applyProtection="1">
      <alignment horizontal="center" vertical="center"/>
      <protection hidden="1"/>
    </xf>
    <xf numFmtId="164" fontId="12" fillId="18" borderId="59" xfId="0" quotePrefix="1" applyNumberFormat="1" applyFont="1" applyFill="1" applyBorder="1" applyAlignment="1" applyProtection="1">
      <alignment horizontal="center" vertical="center"/>
      <protection hidden="1"/>
    </xf>
    <xf numFmtId="14" fontId="12" fillId="18" borderId="71" xfId="0" applyNumberFormat="1" applyFont="1" applyFill="1" applyBorder="1" applyAlignment="1" applyProtection="1">
      <alignment horizontal="center" vertical="center"/>
      <protection hidden="1"/>
    </xf>
    <xf numFmtId="0" fontId="8" fillId="18" borderId="72" xfId="0" applyFont="1" applyFill="1" applyBorder="1" applyAlignment="1" applyProtection="1">
      <alignment horizontal="right" vertical="center"/>
      <protection hidden="1"/>
    </xf>
    <xf numFmtId="0" fontId="9" fillId="18" borderId="71" xfId="0" applyFont="1" applyFill="1" applyBorder="1" applyAlignment="1" applyProtection="1">
      <alignment horizontal="center"/>
      <protection locked="0" hidden="1"/>
    </xf>
    <xf numFmtId="0" fontId="9" fillId="18" borderId="72" xfId="0" applyFont="1" applyFill="1" applyBorder="1" applyAlignment="1" applyProtection="1">
      <alignment horizontal="center"/>
      <protection locked="0" hidden="1"/>
    </xf>
    <xf numFmtId="14" fontId="12" fillId="18" borderId="62" xfId="0" applyNumberFormat="1" applyFont="1" applyFill="1" applyBorder="1" applyAlignment="1" applyProtection="1">
      <alignment horizontal="center" vertical="center"/>
      <protection hidden="1"/>
    </xf>
    <xf numFmtId="164" fontId="12" fillId="18" borderId="62" xfId="0" applyNumberFormat="1" applyFont="1" applyFill="1" applyBorder="1" applyAlignment="1" applyProtection="1">
      <alignment horizontal="center" vertical="center"/>
      <protection hidden="1"/>
    </xf>
    <xf numFmtId="49" fontId="12" fillId="18" borderId="74" xfId="0" applyNumberFormat="1" applyFont="1" applyFill="1" applyBorder="1" applyAlignment="1" applyProtection="1">
      <alignment horizontal="center" vertical="center"/>
      <protection hidden="1"/>
    </xf>
    <xf numFmtId="0" fontId="8" fillId="18" borderId="75" xfId="0" applyFont="1" applyFill="1" applyBorder="1" applyAlignment="1" applyProtection="1">
      <alignment horizontal="right" vertical="center"/>
      <protection hidden="1"/>
    </xf>
    <xf numFmtId="0" fontId="9" fillId="18" borderId="62" xfId="0" applyFont="1" applyFill="1" applyBorder="1" applyAlignment="1" applyProtection="1">
      <alignment horizontal="center"/>
      <protection locked="0" hidden="1"/>
    </xf>
    <xf numFmtId="14" fontId="12" fillId="18" borderId="59" xfId="0" applyNumberFormat="1" applyFont="1" applyFill="1" applyBorder="1" applyAlignment="1" applyProtection="1">
      <alignment horizontal="center" vertical="center"/>
      <protection hidden="1"/>
    </xf>
    <xf numFmtId="14" fontId="12" fillId="18" borderId="62" xfId="0" quotePrefix="1" applyNumberFormat="1" applyFont="1" applyFill="1" applyBorder="1" applyAlignment="1" applyProtection="1">
      <alignment horizontal="center" vertical="center"/>
      <protection hidden="1"/>
    </xf>
    <xf numFmtId="164" fontId="12" fillId="18" borderId="62" xfId="0" quotePrefix="1" applyNumberFormat="1" applyFont="1" applyFill="1" applyBorder="1" applyAlignment="1" applyProtection="1">
      <alignment horizontal="center" vertical="center"/>
      <protection hidden="1"/>
    </xf>
    <xf numFmtId="0" fontId="15" fillId="20" borderId="87" xfId="0" applyFont="1" applyFill="1" applyBorder="1" applyAlignment="1" applyProtection="1">
      <alignment vertical="center"/>
      <protection hidden="1"/>
    </xf>
    <xf numFmtId="0" fontId="16" fillId="20" borderId="88" xfId="0" applyFont="1" applyFill="1" applyBorder="1" applyAlignment="1" applyProtection="1">
      <alignment vertical="center"/>
      <protection hidden="1"/>
    </xf>
    <xf numFmtId="0" fontId="16" fillId="20" borderId="89" xfId="0" applyFont="1" applyFill="1" applyBorder="1" applyAlignment="1" applyProtection="1">
      <alignment vertical="center"/>
      <protection hidden="1"/>
    </xf>
    <xf numFmtId="14" fontId="12" fillId="23" borderId="0" xfId="0" applyNumberFormat="1" applyFont="1" applyFill="1" applyAlignment="1" applyProtection="1">
      <alignment horizontal="center" vertical="center"/>
      <protection hidden="1"/>
    </xf>
    <xf numFmtId="164" fontId="12" fillId="23" borderId="0" xfId="0" applyNumberFormat="1" applyFont="1" applyFill="1" applyAlignment="1" applyProtection="1">
      <alignment horizontal="center" vertical="center"/>
      <protection hidden="1"/>
    </xf>
    <xf numFmtId="0" fontId="8" fillId="23" borderId="5" xfId="0" applyFont="1" applyFill="1" applyBorder="1" applyAlignment="1" applyProtection="1">
      <alignment horizontal="right"/>
      <protection hidden="1"/>
    </xf>
    <xf numFmtId="0" fontId="8" fillId="23" borderId="4" xfId="0" applyFont="1" applyFill="1" applyBorder="1" applyProtection="1">
      <protection hidden="1"/>
    </xf>
    <xf numFmtId="0" fontId="7" fillId="23" borderId="5" xfId="0" applyFont="1" applyFill="1" applyBorder="1" applyProtection="1">
      <protection hidden="1"/>
    </xf>
    <xf numFmtId="14" fontId="12" fillId="23" borderId="93" xfId="0" applyNumberFormat="1" applyFont="1" applyFill="1" applyBorder="1" applyAlignment="1" applyProtection="1">
      <alignment horizontal="center" vertical="center"/>
      <protection hidden="1"/>
    </xf>
    <xf numFmtId="164" fontId="12" fillId="23" borderId="93" xfId="0" applyNumberFormat="1" applyFont="1" applyFill="1" applyBorder="1" applyAlignment="1" applyProtection="1">
      <alignment horizontal="center" vertical="center"/>
      <protection hidden="1"/>
    </xf>
    <xf numFmtId="0" fontId="8" fillId="23" borderId="94" xfId="0" applyFont="1" applyFill="1" applyBorder="1" applyAlignment="1" applyProtection="1">
      <alignment horizontal="right"/>
      <protection hidden="1"/>
    </xf>
    <xf numFmtId="0" fontId="8" fillId="23" borderId="95" xfId="0" applyFont="1" applyFill="1" applyBorder="1" applyProtection="1">
      <protection hidden="1"/>
    </xf>
    <xf numFmtId="0" fontId="7" fillId="23" borderId="94" xfId="0" applyFont="1" applyFill="1" applyBorder="1" applyProtection="1">
      <protection hidden="1"/>
    </xf>
    <xf numFmtId="0" fontId="8" fillId="23" borderId="97" xfId="0" applyFont="1" applyFill="1" applyBorder="1" applyAlignment="1" applyProtection="1">
      <alignment horizontal="left"/>
      <protection hidden="1"/>
    </xf>
    <xf numFmtId="0" fontId="8" fillId="23" borderId="99" xfId="0" applyFont="1" applyFill="1" applyBorder="1" applyAlignment="1" applyProtection="1">
      <alignment horizontal="left"/>
      <protection hidden="1"/>
    </xf>
    <xf numFmtId="14" fontId="12" fillId="23" borderId="101" xfId="0" applyNumberFormat="1" applyFont="1" applyFill="1" applyBorder="1" applyAlignment="1" applyProtection="1">
      <alignment horizontal="center" vertical="center"/>
      <protection hidden="1"/>
    </xf>
    <xf numFmtId="164" fontId="12" fillId="23" borderId="101" xfId="0" applyNumberFormat="1" applyFont="1" applyFill="1" applyBorder="1" applyAlignment="1" applyProtection="1">
      <alignment horizontal="center" vertical="center"/>
      <protection hidden="1"/>
    </xf>
    <xf numFmtId="0" fontId="8" fillId="23" borderId="102" xfId="0" applyFont="1" applyFill="1" applyBorder="1" applyAlignment="1" applyProtection="1">
      <alignment horizontal="right"/>
      <protection hidden="1"/>
    </xf>
    <xf numFmtId="0" fontId="8" fillId="23" borderId="103" xfId="0" applyFont="1" applyFill="1" applyBorder="1" applyProtection="1">
      <protection hidden="1"/>
    </xf>
    <xf numFmtId="0" fontId="7" fillId="23" borderId="102" xfId="0" applyFont="1" applyFill="1" applyBorder="1" applyProtection="1">
      <protection hidden="1"/>
    </xf>
    <xf numFmtId="0" fontId="8" fillId="23" borderId="105" xfId="0" applyFont="1" applyFill="1" applyBorder="1" applyAlignment="1" applyProtection="1">
      <alignment horizontal="left"/>
      <protection hidden="1"/>
    </xf>
    <xf numFmtId="0" fontId="9" fillId="22" borderId="92" xfId="0" applyFont="1" applyFill="1" applyBorder="1" applyAlignment="1" applyProtection="1">
      <alignment horizontal="centerContinuous"/>
      <protection hidden="1"/>
    </xf>
    <xf numFmtId="0" fontId="9" fillId="22" borderId="93" xfId="0" applyFont="1" applyFill="1" applyBorder="1" applyAlignment="1" applyProtection="1">
      <alignment horizontal="centerContinuous"/>
      <protection hidden="1"/>
    </xf>
    <xf numFmtId="0" fontId="9" fillId="22" borderId="97" xfId="0" applyFont="1" applyFill="1" applyBorder="1" applyAlignment="1" applyProtection="1">
      <alignment horizontal="centerContinuous"/>
      <protection hidden="1"/>
    </xf>
    <xf numFmtId="0" fontId="10" fillId="4" borderId="98" xfId="0" applyFont="1" applyFill="1" applyBorder="1" applyAlignment="1" applyProtection="1">
      <alignment horizontal="center" vertical="center"/>
      <protection hidden="1"/>
    </xf>
    <xf numFmtId="0" fontId="10" fillId="4" borderId="99" xfId="0" applyFont="1" applyFill="1" applyBorder="1" applyAlignment="1" applyProtection="1">
      <alignment horizontal="center" vertical="center"/>
      <protection hidden="1"/>
    </xf>
    <xf numFmtId="0" fontId="10" fillId="4" borderId="100" xfId="0" applyFont="1" applyFill="1" applyBorder="1" applyAlignment="1" applyProtection="1">
      <alignment horizontal="center" vertical="center"/>
      <protection hidden="1"/>
    </xf>
    <xf numFmtId="0" fontId="10" fillId="4" borderId="101" xfId="0" applyFont="1" applyFill="1" applyBorder="1" applyAlignment="1" applyProtection="1">
      <alignment horizontal="left" vertical="center"/>
      <protection hidden="1"/>
    </xf>
    <xf numFmtId="0" fontId="10" fillId="4" borderId="101" xfId="0" applyFont="1" applyFill="1" applyBorder="1" applyAlignment="1" applyProtection="1">
      <alignment horizontal="center" vertical="center"/>
      <protection hidden="1"/>
    </xf>
    <xf numFmtId="0" fontId="10" fillId="4" borderId="105" xfId="0" applyFont="1" applyFill="1" applyBorder="1" applyAlignment="1" applyProtection="1">
      <alignment horizontal="center" vertical="center"/>
      <protection hidden="1"/>
    </xf>
    <xf numFmtId="0" fontId="9" fillId="22" borderId="98" xfId="0" applyFont="1" applyFill="1" applyBorder="1" applyAlignment="1" applyProtection="1">
      <alignment horizontal="center" vertical="center"/>
      <protection hidden="1"/>
    </xf>
    <xf numFmtId="0" fontId="9" fillId="22" borderId="0" xfId="0" applyFont="1" applyFill="1" applyAlignment="1" applyProtection="1">
      <alignment horizontal="left" vertical="center"/>
      <protection hidden="1"/>
    </xf>
    <xf numFmtId="0" fontId="9" fillId="22" borderId="0" xfId="0" applyFont="1" applyFill="1" applyAlignment="1" applyProtection="1">
      <alignment horizontal="center" vertical="center"/>
      <protection hidden="1"/>
    </xf>
    <xf numFmtId="0" fontId="9" fillId="22" borderId="99" xfId="0" applyFont="1" applyFill="1" applyBorder="1" applyAlignment="1" applyProtection="1">
      <alignment horizontal="center" vertical="center"/>
      <protection hidden="1"/>
    </xf>
    <xf numFmtId="0" fontId="10" fillId="4" borderId="92" xfId="0" applyFont="1" applyFill="1" applyBorder="1" applyAlignment="1" applyProtection="1">
      <alignment horizontal="center" vertical="center"/>
      <protection hidden="1"/>
    </xf>
    <xf numFmtId="0" fontId="10" fillId="4" borderId="93" xfId="0" applyFont="1" applyFill="1" applyBorder="1" applyAlignment="1" applyProtection="1">
      <alignment horizontal="left" vertical="center"/>
      <protection hidden="1"/>
    </xf>
    <xf numFmtId="0" fontId="10" fillId="4" borderId="93" xfId="0" applyFont="1" applyFill="1" applyBorder="1" applyAlignment="1" applyProtection="1">
      <alignment horizontal="center" vertical="center"/>
      <protection hidden="1"/>
    </xf>
    <xf numFmtId="0" fontId="10" fillId="4" borderId="97" xfId="0" applyFont="1" applyFill="1" applyBorder="1" applyAlignment="1" applyProtection="1">
      <alignment horizontal="center" vertical="center"/>
      <protection hidden="1"/>
    </xf>
    <xf numFmtId="0" fontId="40" fillId="2" borderId="0" xfId="90" applyFill="1" applyProtection="1">
      <protection hidden="1"/>
    </xf>
    <xf numFmtId="0" fontId="40" fillId="2" borderId="0" xfId="90" applyFill="1" applyAlignment="1" applyProtection="1">
      <alignment vertical="top" wrapText="1"/>
      <protection hidden="1"/>
    </xf>
    <xf numFmtId="0" fontId="3" fillId="2" borderId="0" xfId="90" applyFont="1" applyFill="1" applyAlignment="1" applyProtection="1">
      <alignment vertical="top"/>
      <protection hidden="1"/>
    </xf>
    <xf numFmtId="0" fontId="40" fillId="2" borderId="0" xfId="90" applyFill="1" applyAlignment="1" applyProtection="1">
      <alignment vertical="top"/>
      <protection hidden="1"/>
    </xf>
    <xf numFmtId="0" fontId="40" fillId="2" borderId="0" xfId="90" applyFill="1" applyAlignment="1" applyProtection="1">
      <alignment vertical="center" wrapText="1"/>
      <protection hidden="1"/>
    </xf>
    <xf numFmtId="0" fontId="40" fillId="2" borderId="0" xfId="90" applyFill="1" applyAlignment="1" applyProtection="1">
      <alignment vertical="center"/>
      <protection hidden="1"/>
    </xf>
    <xf numFmtId="0" fontId="32" fillId="15" borderId="0" xfId="0" applyFont="1" applyFill="1" applyAlignment="1" applyProtection="1">
      <alignment horizontal="left" vertical="center"/>
      <protection hidden="1"/>
    </xf>
    <xf numFmtId="0" fontId="32" fillId="15" borderId="0" xfId="0" applyFont="1" applyFill="1" applyAlignment="1" applyProtection="1">
      <alignment horizontal="centerContinuous" vertical="center"/>
      <protection hidden="1"/>
    </xf>
    <xf numFmtId="0" fontId="32" fillId="15" borderId="0" xfId="0" applyFont="1" applyFill="1" applyProtection="1">
      <protection hidden="1"/>
    </xf>
    <xf numFmtId="0" fontId="9" fillId="10" borderId="0" xfId="0" applyFont="1" applyFill="1" applyAlignment="1" applyProtection="1">
      <alignment horizontal="center" vertical="center"/>
      <protection hidden="1"/>
    </xf>
    <xf numFmtId="0" fontId="9" fillId="12" borderId="0" xfId="0" applyFont="1" applyFill="1" applyAlignment="1" applyProtection="1">
      <alignment horizontal="center" vertical="center"/>
      <protection hidden="1"/>
    </xf>
    <xf numFmtId="0" fontId="9" fillId="13" borderId="0" xfId="0" applyFont="1" applyFill="1" applyAlignment="1" applyProtection="1">
      <alignment horizontal="center" vertical="center"/>
      <protection hidden="1"/>
    </xf>
    <xf numFmtId="14" fontId="36" fillId="17" borderId="0" xfId="0" quotePrefix="1" applyNumberFormat="1" applyFont="1" applyFill="1" applyAlignment="1" applyProtection="1">
      <alignment horizontal="center" vertical="center"/>
      <protection hidden="1"/>
    </xf>
    <xf numFmtId="0" fontId="28" fillId="5" borderId="0" xfId="0" applyFont="1" applyFill="1" applyAlignment="1" applyProtection="1">
      <alignment horizontal="left" vertical="center"/>
      <protection hidden="1"/>
    </xf>
    <xf numFmtId="0" fontId="39" fillId="29" borderId="0" xfId="0" applyFont="1" applyFill="1" applyAlignment="1">
      <alignment vertical="center" wrapText="1"/>
    </xf>
    <xf numFmtId="0" fontId="0" fillId="30" borderId="0" xfId="0" applyFill="1" applyAlignment="1">
      <alignment horizontal="left" vertical="center" wrapText="1"/>
    </xf>
    <xf numFmtId="0" fontId="0" fillId="2" borderId="0" xfId="0" applyFill="1" applyAlignment="1">
      <alignment horizontal="left" vertical="center" wrapText="1"/>
    </xf>
    <xf numFmtId="0" fontId="0" fillId="2" borderId="107" xfId="0" applyFill="1" applyBorder="1"/>
    <xf numFmtId="0" fontId="0" fillId="2" borderId="108" xfId="0" applyFill="1" applyBorder="1" applyAlignment="1">
      <alignment horizontal="left" vertical="center" wrapText="1"/>
    </xf>
    <xf numFmtId="0" fontId="0" fillId="30" borderId="109" xfId="0" applyFill="1" applyBorder="1" applyAlignment="1">
      <alignment horizontal="left" vertical="center" wrapText="1"/>
    </xf>
    <xf numFmtId="0" fontId="0" fillId="2" borderId="110" xfId="0" applyFill="1" applyBorder="1"/>
    <xf numFmtId="0" fontId="0" fillId="5" borderId="0" xfId="0" applyFill="1" applyAlignment="1" applyProtection="1">
      <alignment vertical="center" wrapText="1"/>
      <protection hidden="1"/>
    </xf>
    <xf numFmtId="0" fontId="0" fillId="30" borderId="112" xfId="0" applyFill="1" applyBorder="1"/>
    <xf numFmtId="0" fontId="0" fillId="30" borderId="115" xfId="0" applyFill="1" applyBorder="1" applyAlignment="1">
      <alignment horizontal="left" vertical="center" wrapText="1"/>
    </xf>
    <xf numFmtId="0" fontId="0" fillId="30" borderId="4" xfId="0" applyFill="1" applyBorder="1" applyAlignment="1">
      <alignment horizontal="left" vertical="center" wrapText="1"/>
    </xf>
    <xf numFmtId="0" fontId="0" fillId="2" borderId="114" xfId="0" applyFill="1" applyBorder="1"/>
    <xf numFmtId="0" fontId="0" fillId="2" borderId="116" xfId="0" applyFill="1" applyBorder="1"/>
    <xf numFmtId="0" fontId="0" fillId="5" borderId="4" xfId="0" applyFill="1" applyBorder="1" applyAlignment="1" applyProtection="1">
      <alignment vertical="center" wrapText="1"/>
      <protection hidden="1"/>
    </xf>
    <xf numFmtId="0" fontId="39" fillId="29" borderId="114" xfId="0" applyFont="1" applyFill="1" applyBorder="1" applyAlignment="1">
      <alignment vertical="center" wrapText="1"/>
    </xf>
    <xf numFmtId="0" fontId="0" fillId="29" borderId="106" xfId="0" applyFill="1" applyBorder="1"/>
    <xf numFmtId="0" fontId="0" fillId="28" borderId="106" xfId="0" applyFill="1" applyBorder="1"/>
    <xf numFmtId="0" fontId="38" fillId="5" borderId="77" xfId="0" applyFont="1" applyFill="1" applyBorder="1" applyAlignment="1" applyProtection="1">
      <alignment horizontal="left" vertical="center"/>
      <protection hidden="1"/>
    </xf>
    <xf numFmtId="0" fontId="21" fillId="8" borderId="82" xfId="0" applyFont="1" applyFill="1" applyBorder="1" applyAlignment="1" applyProtection="1">
      <alignment horizontal="left" vertical="center"/>
      <protection hidden="1"/>
    </xf>
    <xf numFmtId="0" fontId="1" fillId="15" borderId="0" xfId="0" applyFont="1" applyFill="1" applyAlignment="1" applyProtection="1">
      <alignment vertical="center"/>
      <protection hidden="1"/>
    </xf>
    <xf numFmtId="0" fontId="46" fillId="15" borderId="0" xfId="0" applyFont="1" applyFill="1" applyProtection="1">
      <protection hidden="1"/>
    </xf>
    <xf numFmtId="0" fontId="46" fillId="15" borderId="0" xfId="0" applyFont="1" applyFill="1" applyAlignment="1" applyProtection="1">
      <alignment horizontal="left"/>
      <protection hidden="1"/>
    </xf>
    <xf numFmtId="0" fontId="3" fillId="2" borderId="0" xfId="90" applyFont="1" applyFill="1" applyAlignment="1" applyProtection="1">
      <alignment horizontal="right" vertical="center"/>
      <protection hidden="1"/>
    </xf>
    <xf numFmtId="0" fontId="3" fillId="2" borderId="0" xfId="90" applyFont="1" applyFill="1" applyAlignment="1" applyProtection="1">
      <alignment horizontal="right" vertical="top"/>
      <protection hidden="1"/>
    </xf>
    <xf numFmtId="0" fontId="48" fillId="7" borderId="0" xfId="0" applyFont="1" applyFill="1" applyAlignment="1" applyProtection="1">
      <alignment horizontal="center" vertical="center"/>
      <protection hidden="1"/>
    </xf>
    <xf numFmtId="0" fontId="47" fillId="7" borderId="0" xfId="0" applyFont="1" applyFill="1" applyProtection="1">
      <protection hidden="1"/>
    </xf>
    <xf numFmtId="0" fontId="8" fillId="0" borderId="0" xfId="0" applyFont="1" applyProtection="1">
      <protection hidden="1"/>
    </xf>
    <xf numFmtId="0" fontId="9" fillId="15" borderId="0" xfId="0" applyFont="1" applyFill="1" applyAlignment="1" applyProtection="1">
      <alignment horizontal="left"/>
      <protection hidden="1"/>
    </xf>
    <xf numFmtId="0" fontId="28" fillId="5" borderId="80" xfId="0" applyFont="1" applyFill="1" applyBorder="1" applyAlignment="1" applyProtection="1">
      <alignment vertical="center"/>
      <protection locked="0" hidden="1"/>
    </xf>
    <xf numFmtId="0" fontId="20" fillId="8" borderId="85" xfId="0" applyFont="1" applyFill="1" applyBorder="1" applyAlignment="1" applyProtection="1">
      <alignment vertical="center"/>
      <protection locked="0" hidden="1"/>
    </xf>
    <xf numFmtId="0" fontId="39" fillId="5" borderId="0" xfId="0" applyFont="1" applyFill="1" applyAlignment="1" applyProtection="1">
      <alignment vertical="center" wrapText="1"/>
      <protection hidden="1"/>
    </xf>
    <xf numFmtId="0" fontId="39" fillId="2" borderId="0" xfId="0" applyFont="1" applyFill="1" applyAlignment="1">
      <alignment vertical="center" wrapText="1"/>
    </xf>
    <xf numFmtId="0" fontId="0" fillId="2" borderId="5" xfId="0" applyFill="1" applyBorder="1" applyAlignment="1">
      <alignment vertical="top" wrapText="1"/>
    </xf>
    <xf numFmtId="0" fontId="0" fillId="2" borderId="0" xfId="0" applyFill="1" applyAlignment="1">
      <alignment vertical="top" wrapText="1"/>
    </xf>
    <xf numFmtId="0" fontId="0" fillId="2" borderId="5" xfId="0" applyFill="1" applyBorder="1" applyAlignment="1">
      <alignment vertical="center" wrapText="1"/>
    </xf>
    <xf numFmtId="0" fontId="0" fillId="2" borderId="0" xfId="0" applyFill="1" applyAlignment="1">
      <alignment vertical="center" wrapText="1"/>
    </xf>
    <xf numFmtId="0" fontId="21" fillId="8" borderId="222" xfId="0" applyFont="1" applyFill="1" applyBorder="1" applyAlignment="1" applyProtection="1">
      <alignment horizontal="left" vertical="center"/>
      <protection hidden="1"/>
    </xf>
    <xf numFmtId="0" fontId="20" fillId="8" borderId="4" xfId="0" applyFont="1" applyFill="1" applyBorder="1" applyAlignment="1" applyProtection="1">
      <alignment horizontal="left" vertical="center"/>
      <protection hidden="1"/>
    </xf>
    <xf numFmtId="0" fontId="55" fillId="5" borderId="78" xfId="0" applyFont="1" applyFill="1" applyBorder="1" applyAlignment="1" applyProtection="1">
      <alignment horizontal="left" vertical="center"/>
      <protection hidden="1"/>
    </xf>
    <xf numFmtId="0" fontId="20" fillId="8" borderId="5" xfId="0" applyFont="1" applyFill="1" applyBorder="1" applyAlignment="1" applyProtection="1">
      <alignment vertical="center"/>
      <protection locked="0" hidden="1"/>
    </xf>
    <xf numFmtId="0" fontId="9" fillId="13" borderId="53" xfId="0" applyFont="1" applyFill="1" applyBorder="1" applyAlignment="1" applyProtection="1">
      <alignment horizontal="center" vertical="center"/>
      <protection hidden="1"/>
    </xf>
    <xf numFmtId="0" fontId="37" fillId="15" borderId="0" xfId="0" applyFont="1" applyFill="1" applyAlignment="1" applyProtection="1">
      <alignment vertical="center"/>
      <protection hidden="1"/>
    </xf>
    <xf numFmtId="0" fontId="37" fillId="0" borderId="0" xfId="0" applyFont="1" applyProtection="1">
      <protection hidden="1"/>
    </xf>
    <xf numFmtId="0" fontId="37" fillId="2" borderId="0" xfId="0" applyFont="1" applyFill="1" applyProtection="1">
      <protection hidden="1"/>
    </xf>
    <xf numFmtId="0" fontId="53" fillId="0" borderId="212" xfId="0" applyFont="1" applyBorder="1" applyAlignment="1" applyProtection="1">
      <alignment horizontal="center" vertical="center"/>
      <protection locked="0" hidden="1"/>
    </xf>
    <xf numFmtId="0" fontId="48" fillId="36" borderId="0" xfId="27" applyFont="1" applyFill="1" applyAlignment="1" applyProtection="1">
      <alignment horizontal="centerContinuous" vertical="center"/>
      <protection locked="0" hidden="1"/>
    </xf>
    <xf numFmtId="0" fontId="10" fillId="15" borderId="0" xfId="0" applyFont="1" applyFill="1" applyAlignment="1" applyProtection="1">
      <alignment vertical="center"/>
      <protection hidden="1"/>
    </xf>
    <xf numFmtId="0" fontId="18" fillId="15" borderId="0" xfId="0" applyFont="1" applyFill="1" applyProtection="1">
      <protection hidden="1"/>
    </xf>
    <xf numFmtId="0" fontId="10" fillId="15" borderId="0" xfId="0" applyFont="1" applyFill="1" applyAlignment="1" applyProtection="1">
      <alignment horizontal="center" wrapText="1"/>
      <protection hidden="1"/>
    </xf>
    <xf numFmtId="0" fontId="10" fillId="15" borderId="0" xfId="0" applyFont="1" applyFill="1" applyAlignment="1" applyProtection="1">
      <alignment horizontal="centerContinuous" vertical="center"/>
      <protection hidden="1"/>
    </xf>
    <xf numFmtId="0" fontId="9" fillId="0" borderId="0" xfId="0" applyFont="1" applyAlignment="1" applyProtection="1">
      <alignment vertical="center"/>
      <protection hidden="1"/>
    </xf>
    <xf numFmtId="0" fontId="9" fillId="0" borderId="0" xfId="0" applyFont="1" applyProtection="1">
      <protection hidden="1"/>
    </xf>
    <xf numFmtId="3" fontId="8" fillId="0" borderId="0" xfId="0" applyNumberFormat="1" applyFont="1" applyProtection="1">
      <protection hidden="1"/>
    </xf>
    <xf numFmtId="0" fontId="8" fillId="0" borderId="0" xfId="0" applyFont="1" applyAlignment="1" applyProtection="1">
      <alignment horizontal="center"/>
      <protection hidden="1"/>
    </xf>
    <xf numFmtId="0" fontId="9" fillId="0" borderId="0" xfId="0" applyFont="1" applyAlignment="1" applyProtection="1">
      <alignment horizontal="center"/>
      <protection hidden="1"/>
    </xf>
    <xf numFmtId="0" fontId="9" fillId="0" borderId="0" xfId="0" applyFont="1" applyAlignment="1" applyProtection="1">
      <alignment horizontal="center" vertical="center"/>
      <protection hidden="1"/>
    </xf>
    <xf numFmtId="0" fontId="9" fillId="0" borderId="0" xfId="0" applyFont="1" applyAlignment="1" applyProtection="1">
      <alignment horizontal="centerContinuous" wrapText="1"/>
      <protection hidden="1"/>
    </xf>
    <xf numFmtId="0" fontId="28" fillId="5" borderId="78" xfId="0" applyFont="1" applyFill="1" applyBorder="1" applyAlignment="1" applyProtection="1">
      <alignment vertical="center"/>
      <protection hidden="1"/>
    </xf>
    <xf numFmtId="0" fontId="28" fillId="5" borderId="81" xfId="0" applyFont="1" applyFill="1" applyBorder="1" applyAlignment="1" applyProtection="1">
      <alignment vertical="center"/>
      <protection hidden="1"/>
    </xf>
    <xf numFmtId="0" fontId="20" fillId="8" borderId="0" xfId="0" applyFont="1" applyFill="1" applyAlignment="1" applyProtection="1">
      <alignment vertical="center"/>
      <protection hidden="1"/>
    </xf>
    <xf numFmtId="0" fontId="20" fillId="8" borderId="223" xfId="0" applyFont="1" applyFill="1" applyBorder="1" applyAlignment="1" applyProtection="1">
      <alignment vertical="center"/>
      <protection hidden="1"/>
    </xf>
    <xf numFmtId="0" fontId="20" fillId="8" borderId="83" xfId="0" applyFont="1" applyFill="1" applyBorder="1" applyAlignment="1" applyProtection="1">
      <alignment vertical="center"/>
      <protection hidden="1"/>
    </xf>
    <xf numFmtId="0" fontId="20" fillId="8" borderId="86" xfId="0" applyFont="1" applyFill="1" applyBorder="1" applyAlignment="1" applyProtection="1">
      <alignment vertical="center"/>
      <protection hidden="1"/>
    </xf>
    <xf numFmtId="0" fontId="43" fillId="21" borderId="88" xfId="0" applyFont="1" applyFill="1" applyBorder="1" applyAlignment="1" applyProtection="1">
      <alignment vertical="center"/>
      <protection hidden="1"/>
    </xf>
    <xf numFmtId="0" fontId="43" fillId="21" borderId="91" xfId="0" applyFont="1" applyFill="1" applyBorder="1" applyAlignment="1" applyProtection="1">
      <alignment vertical="center"/>
      <protection hidden="1"/>
    </xf>
    <xf numFmtId="0" fontId="49" fillId="2" borderId="0" xfId="27" applyFont="1" applyFill="1" applyAlignment="1" applyProtection="1">
      <alignment horizontal="right"/>
      <protection hidden="1"/>
    </xf>
    <xf numFmtId="0" fontId="40" fillId="0" borderId="0" xfId="90" applyProtection="1">
      <protection hidden="1"/>
    </xf>
    <xf numFmtId="0" fontId="49" fillId="0" borderId="0" xfId="0" applyFont="1" applyProtection="1">
      <protection hidden="1"/>
    </xf>
    <xf numFmtId="0" fontId="56" fillId="42" borderId="0" xfId="0" applyFont="1" applyFill="1" applyAlignment="1" applyProtection="1">
      <alignment horizontal="right" vertical="center"/>
      <protection hidden="1"/>
    </xf>
    <xf numFmtId="0" fontId="5" fillId="2" borderId="0" xfId="27" applyFill="1" applyAlignment="1" applyProtection="1">
      <alignment horizontal="left"/>
      <protection hidden="1"/>
    </xf>
    <xf numFmtId="0" fontId="5" fillId="42" borderId="0" xfId="27" applyFill="1" applyAlignment="1" applyProtection="1">
      <alignment horizontal="center" vertical="center"/>
      <protection hidden="1"/>
    </xf>
    <xf numFmtId="0" fontId="5" fillId="42" borderId="0" xfId="27" applyFill="1" applyAlignment="1" applyProtection="1">
      <alignment horizontal="center"/>
      <protection hidden="1"/>
    </xf>
    <xf numFmtId="0" fontId="40" fillId="2" borderId="0" xfId="90" applyFill="1" applyAlignment="1" applyProtection="1">
      <alignment horizontal="right"/>
      <protection hidden="1"/>
    </xf>
    <xf numFmtId="0" fontId="3" fillId="0" borderId="233" xfId="90" applyFont="1" applyBorder="1" applyAlignment="1" applyProtection="1">
      <alignment horizontal="center" vertical="center"/>
      <protection hidden="1"/>
    </xf>
    <xf numFmtId="0" fontId="40" fillId="0" borderId="233" xfId="90" applyBorder="1" applyProtection="1">
      <protection hidden="1"/>
    </xf>
    <xf numFmtId="0" fontId="5" fillId="0" borderId="233" xfId="27" applyBorder="1" applyAlignment="1" applyProtection="1">
      <alignment horizontal="center" vertical="center"/>
      <protection hidden="1"/>
    </xf>
    <xf numFmtId="0" fontId="40" fillId="0" borderId="233" xfId="90" applyBorder="1" applyAlignment="1" applyProtection="1">
      <alignment horizontal="center" vertical="center"/>
      <protection hidden="1"/>
    </xf>
    <xf numFmtId="0" fontId="0" fillId="2" borderId="0" xfId="0" applyFill="1" applyProtection="1">
      <protection hidden="1"/>
    </xf>
    <xf numFmtId="0" fontId="5" fillId="2" borderId="0" xfId="27" applyFill="1" applyProtection="1">
      <protection hidden="1"/>
    </xf>
    <xf numFmtId="0" fontId="44" fillId="2" borderId="0" xfId="0" applyFont="1" applyFill="1" applyAlignment="1" applyProtection="1">
      <alignment horizontal="centerContinuous" wrapText="1"/>
      <protection hidden="1"/>
    </xf>
    <xf numFmtId="0" fontId="0" fillId="2" borderId="0" xfId="0" applyFill="1" applyAlignment="1" applyProtection="1">
      <alignment horizontal="centerContinuous" wrapText="1"/>
      <protection hidden="1"/>
    </xf>
    <xf numFmtId="0" fontId="8" fillId="2" borderId="0" xfId="0" applyFont="1" applyFill="1" applyProtection="1">
      <protection hidden="1"/>
    </xf>
    <xf numFmtId="0" fontId="44" fillId="36" borderId="209" xfId="0" applyFont="1" applyFill="1" applyBorder="1" applyAlignment="1" applyProtection="1">
      <alignment horizontal="center" wrapText="1"/>
      <protection hidden="1"/>
    </xf>
    <xf numFmtId="0" fontId="0" fillId="36" borderId="208" xfId="0" applyFill="1" applyBorder="1" applyAlignment="1" applyProtection="1">
      <alignment horizontal="center" wrapText="1"/>
      <protection hidden="1"/>
    </xf>
    <xf numFmtId="0" fontId="0" fillId="36" borderId="210" xfId="0" applyFill="1" applyBorder="1" applyAlignment="1" applyProtection="1">
      <alignment horizontal="center" wrapText="1"/>
      <protection hidden="1"/>
    </xf>
    <xf numFmtId="0" fontId="38" fillId="34" borderId="211" xfId="0" applyFont="1" applyFill="1" applyBorder="1" applyAlignment="1" applyProtection="1">
      <alignment vertical="center"/>
      <protection hidden="1"/>
    </xf>
    <xf numFmtId="0" fontId="8" fillId="2" borderId="0" xfId="27" applyFont="1" applyFill="1" applyProtection="1">
      <protection hidden="1"/>
    </xf>
    <xf numFmtId="0" fontId="18" fillId="36" borderId="213" xfId="0" applyFont="1" applyFill="1" applyBorder="1" applyProtection="1">
      <protection hidden="1"/>
    </xf>
    <xf numFmtId="0" fontId="0" fillId="36" borderId="207" xfId="0" applyFill="1" applyBorder="1" applyProtection="1">
      <protection hidden="1"/>
    </xf>
    <xf numFmtId="0" fontId="0" fillId="36" borderId="214" xfId="0" applyFill="1" applyBorder="1" applyProtection="1">
      <protection hidden="1"/>
    </xf>
    <xf numFmtId="0" fontId="18" fillId="2" borderId="0" xfId="0" applyFont="1" applyFill="1" applyProtection="1">
      <protection hidden="1"/>
    </xf>
    <xf numFmtId="0" fontId="0" fillId="36" borderId="0" xfId="0" applyFill="1" applyProtection="1">
      <protection hidden="1"/>
    </xf>
    <xf numFmtId="0" fontId="5" fillId="0" borderId="0" xfId="27" applyProtection="1">
      <protection hidden="1"/>
    </xf>
    <xf numFmtId="0" fontId="0" fillId="36" borderId="0" xfId="0" applyFill="1" applyAlignment="1" applyProtection="1">
      <alignment horizontal="centerContinuous"/>
      <protection hidden="1"/>
    </xf>
    <xf numFmtId="0" fontId="54" fillId="2" borderId="0" xfId="27" applyFont="1" applyFill="1" applyProtection="1">
      <protection hidden="1"/>
    </xf>
    <xf numFmtId="0" fontId="49" fillId="2" borderId="0" xfId="27" applyFont="1" applyFill="1" applyProtection="1">
      <protection hidden="1"/>
    </xf>
    <xf numFmtId="0" fontId="0" fillId="0" borderId="0" xfId="0" applyAlignment="1" applyProtection="1">
      <alignment horizontal="center" vertical="center"/>
      <protection hidden="1"/>
    </xf>
    <xf numFmtId="0" fontId="5" fillId="2" borderId="0" xfId="27" applyFill="1" applyAlignment="1" applyProtection="1">
      <alignment horizontal="center" vertical="center"/>
      <protection hidden="1"/>
    </xf>
    <xf numFmtId="0" fontId="5" fillId="2" borderId="0" xfId="27" applyFill="1" applyBorder="1" applyProtection="1">
      <protection hidden="1"/>
    </xf>
    <xf numFmtId="0" fontId="0" fillId="2" borderId="118" xfId="0" applyFill="1" applyBorder="1" applyProtection="1">
      <protection hidden="1"/>
    </xf>
    <xf numFmtId="0" fontId="3" fillId="2" borderId="0" xfId="0" applyFont="1" applyFill="1" applyProtection="1">
      <protection hidden="1"/>
    </xf>
    <xf numFmtId="0" fontId="3" fillId="2" borderId="0" xfId="0" quotePrefix="1" applyFont="1" applyFill="1" applyProtection="1">
      <protection hidden="1"/>
    </xf>
    <xf numFmtId="0" fontId="3" fillId="2" borderId="0" xfId="0" applyFont="1" applyFill="1" applyAlignment="1" applyProtection="1">
      <alignment horizontal="center"/>
      <protection hidden="1"/>
    </xf>
    <xf numFmtId="0" fontId="9" fillId="9" borderId="119" xfId="0" applyFont="1" applyFill="1" applyBorder="1" applyAlignment="1" applyProtection="1">
      <alignment horizontal="center" vertical="center"/>
      <protection hidden="1"/>
    </xf>
    <xf numFmtId="0" fontId="0" fillId="0" borderId="120" xfId="0" applyBorder="1" applyAlignment="1" applyProtection="1">
      <alignment horizontal="left"/>
      <protection hidden="1"/>
    </xf>
    <xf numFmtId="0" fontId="0" fillId="0" borderId="121" xfId="0" applyBorder="1" applyAlignment="1" applyProtection="1">
      <alignment horizontal="center"/>
      <protection hidden="1"/>
    </xf>
    <xf numFmtId="0" fontId="0" fillId="0" borderId="121" xfId="0" applyBorder="1" applyProtection="1">
      <protection hidden="1"/>
    </xf>
    <xf numFmtId="0" fontId="0" fillId="2" borderId="122" xfId="0" applyFill="1" applyBorder="1" applyProtection="1">
      <protection hidden="1"/>
    </xf>
    <xf numFmtId="0" fontId="9" fillId="9" borderId="121" xfId="0" applyFont="1" applyFill="1" applyBorder="1" applyAlignment="1" applyProtection="1">
      <alignment horizontal="left" vertical="center"/>
      <protection hidden="1"/>
    </xf>
    <xf numFmtId="0" fontId="9" fillId="9" borderId="121" xfId="0" applyFont="1" applyFill="1" applyBorder="1" applyAlignment="1" applyProtection="1">
      <alignment horizontal="center" vertical="center"/>
      <protection hidden="1"/>
    </xf>
    <xf numFmtId="0" fontId="9" fillId="9" borderId="123" xfId="0" applyFont="1" applyFill="1" applyBorder="1" applyAlignment="1" applyProtection="1">
      <alignment horizontal="center" vertical="center"/>
      <protection hidden="1"/>
    </xf>
    <xf numFmtId="0" fontId="0" fillId="31" borderId="0" xfId="0" applyFill="1" applyAlignment="1" applyProtection="1">
      <alignment horizontal="center" vertical="center"/>
      <protection hidden="1"/>
    </xf>
    <xf numFmtId="0" fontId="0" fillId="2" borderId="0" xfId="0" applyFill="1" applyAlignment="1" applyProtection="1">
      <alignment horizontal="center" vertical="center"/>
      <protection hidden="1"/>
    </xf>
    <xf numFmtId="0" fontId="0" fillId="32"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0" fontId="9" fillId="14" borderId="160" xfId="0" applyFont="1" applyFill="1" applyBorder="1" applyAlignment="1" applyProtection="1">
      <alignment horizontal="center"/>
      <protection hidden="1"/>
    </xf>
    <xf numFmtId="0" fontId="0" fillId="0" borderId="161" xfId="0" applyBorder="1" applyAlignment="1" applyProtection="1">
      <alignment horizontal="left"/>
      <protection hidden="1"/>
    </xf>
    <xf numFmtId="0" fontId="0" fillId="0" borderId="162" xfId="0" applyBorder="1" applyAlignment="1" applyProtection="1">
      <alignment horizontal="center"/>
      <protection hidden="1"/>
    </xf>
    <xf numFmtId="0" fontId="0" fillId="0" borderId="163" xfId="0" applyBorder="1" applyAlignment="1" applyProtection="1">
      <alignment horizontal="center"/>
      <protection hidden="1"/>
    </xf>
    <xf numFmtId="0" fontId="0" fillId="0" borderId="164" xfId="0" applyBorder="1" applyProtection="1">
      <protection hidden="1"/>
    </xf>
    <xf numFmtId="0" fontId="0" fillId="2" borderId="163" xfId="0" applyFill="1" applyBorder="1" applyProtection="1">
      <protection hidden="1"/>
    </xf>
    <xf numFmtId="0" fontId="9" fillId="14" borderId="165" xfId="0" applyFont="1" applyFill="1" applyBorder="1" applyAlignment="1" applyProtection="1">
      <alignment horizontal="left" vertical="center"/>
      <protection hidden="1"/>
    </xf>
    <xf numFmtId="0" fontId="9" fillId="14" borderId="162" xfId="0" applyFont="1" applyFill="1" applyBorder="1" applyAlignment="1" applyProtection="1">
      <alignment horizontal="center" vertical="center"/>
      <protection hidden="1"/>
    </xf>
    <xf numFmtId="0" fontId="0" fillId="0" borderId="124" xfId="0" applyBorder="1" applyAlignment="1" applyProtection="1">
      <alignment horizontal="left"/>
      <protection hidden="1"/>
    </xf>
    <xf numFmtId="0" fontId="0" fillId="0" borderId="125" xfId="0" applyBorder="1" applyAlignment="1" applyProtection="1">
      <alignment horizontal="center"/>
      <protection hidden="1"/>
    </xf>
    <xf numFmtId="0" fontId="0" fillId="0" borderId="125" xfId="0" applyBorder="1" applyProtection="1">
      <protection hidden="1"/>
    </xf>
    <xf numFmtId="0" fontId="3" fillId="0" borderId="125" xfId="0" applyFont="1" applyBorder="1" applyAlignment="1" applyProtection="1">
      <alignment horizontal="left"/>
      <protection hidden="1"/>
    </xf>
    <xf numFmtId="0" fontId="3" fillId="0" borderId="125" xfId="0" applyFont="1" applyBorder="1" applyAlignment="1" applyProtection="1">
      <alignment horizontal="center" vertical="center"/>
      <protection hidden="1"/>
    </xf>
    <xf numFmtId="0" fontId="0" fillId="0" borderId="125" xfId="0" applyBorder="1" applyAlignment="1" applyProtection="1">
      <alignment horizontal="center" vertical="center"/>
      <protection hidden="1"/>
    </xf>
    <xf numFmtId="0" fontId="0" fillId="0" borderId="126" xfId="0" applyBorder="1" applyAlignment="1" applyProtection="1">
      <alignment horizontal="center" vertical="center"/>
      <protection hidden="1"/>
    </xf>
    <xf numFmtId="16" fontId="0" fillId="4" borderId="0" xfId="0" quotePrefix="1" applyNumberFormat="1" applyFill="1" applyAlignment="1" applyProtection="1">
      <alignment horizontal="center" vertical="center"/>
      <protection hidden="1"/>
    </xf>
    <xf numFmtId="0" fontId="9" fillId="14" borderId="167" xfId="0" applyFont="1" applyFill="1" applyBorder="1" applyAlignment="1" applyProtection="1">
      <alignment horizontal="center"/>
      <protection hidden="1"/>
    </xf>
    <xf numFmtId="0" fontId="0" fillId="0" borderId="168" xfId="0" applyBorder="1" applyAlignment="1" applyProtection="1">
      <alignment horizontal="left"/>
      <protection hidden="1"/>
    </xf>
    <xf numFmtId="0" fontId="0" fillId="0" borderId="168" xfId="0" applyBorder="1" applyAlignment="1" applyProtection="1">
      <alignment horizontal="center"/>
      <protection hidden="1"/>
    </xf>
    <xf numFmtId="0" fontId="0" fillId="0" borderId="169" xfId="0" applyBorder="1" applyAlignment="1" applyProtection="1">
      <alignment horizontal="center"/>
      <protection hidden="1"/>
    </xf>
    <xf numFmtId="0" fontId="0" fillId="0" borderId="169" xfId="0" applyBorder="1" applyProtection="1">
      <protection hidden="1"/>
    </xf>
    <xf numFmtId="0" fontId="0" fillId="2" borderId="170" xfId="0" applyFill="1" applyBorder="1" applyProtection="1">
      <protection hidden="1"/>
    </xf>
    <xf numFmtId="0" fontId="3" fillId="0" borderId="168" xfId="0" applyFont="1" applyBorder="1" applyAlignment="1" applyProtection="1">
      <alignment horizontal="left"/>
      <protection hidden="1"/>
    </xf>
    <xf numFmtId="0" fontId="3" fillId="0" borderId="168" xfId="0" applyFont="1" applyBorder="1" applyAlignment="1" applyProtection="1">
      <alignment horizontal="center" vertical="center"/>
      <protection hidden="1"/>
    </xf>
    <xf numFmtId="0" fontId="0" fillId="0" borderId="168" xfId="0" applyBorder="1" applyAlignment="1" applyProtection="1">
      <alignment horizontal="center" vertical="center"/>
      <protection hidden="1"/>
    </xf>
    <xf numFmtId="0" fontId="0" fillId="0" borderId="171" xfId="0" applyBorder="1" applyAlignment="1" applyProtection="1">
      <alignment horizontal="center" vertical="center"/>
      <protection hidden="1"/>
    </xf>
    <xf numFmtId="0" fontId="3" fillId="31" borderId="127" xfId="0" applyFont="1" applyFill="1" applyBorder="1" applyAlignment="1" applyProtection="1">
      <alignment horizontal="center" vertical="center"/>
      <protection hidden="1"/>
    </xf>
    <xf numFmtId="0" fontId="0" fillId="31" borderId="127" xfId="0" applyFill="1" applyBorder="1" applyAlignment="1" applyProtection="1">
      <alignment horizontal="center" vertical="center"/>
      <protection hidden="1"/>
    </xf>
    <xf numFmtId="0" fontId="0" fillId="31" borderId="128" xfId="0" applyFill="1" applyBorder="1" applyAlignment="1" applyProtection="1">
      <alignment horizontal="center" vertical="center"/>
      <protection hidden="1"/>
    </xf>
    <xf numFmtId="0" fontId="0" fillId="32" borderId="218" xfId="0" applyFill="1" applyBorder="1" applyAlignment="1" applyProtection="1">
      <alignment horizontal="center" vertical="center"/>
      <protection hidden="1"/>
    </xf>
    <xf numFmtId="0" fontId="0" fillId="2" borderId="217" xfId="0" applyFill="1" applyBorder="1" applyAlignment="1" applyProtection="1">
      <alignment horizontal="center" vertical="center"/>
      <protection hidden="1"/>
    </xf>
    <xf numFmtId="0" fontId="3" fillId="4" borderId="149" xfId="0" applyFont="1" applyFill="1" applyBorder="1" applyAlignment="1" applyProtection="1">
      <alignment horizontal="center" vertical="center"/>
      <protection hidden="1"/>
    </xf>
    <xf numFmtId="0" fontId="0" fillId="4" borderId="127" xfId="0" applyFill="1" applyBorder="1" applyAlignment="1" applyProtection="1">
      <alignment horizontal="center" vertical="center"/>
      <protection hidden="1"/>
    </xf>
    <xf numFmtId="0" fontId="0" fillId="4" borderId="219" xfId="0" applyFill="1" applyBorder="1" applyAlignment="1" applyProtection="1">
      <alignment horizontal="center" vertical="center"/>
      <protection hidden="1"/>
    </xf>
    <xf numFmtId="0" fontId="0" fillId="2" borderId="218" xfId="0" applyFill="1" applyBorder="1" applyAlignment="1" applyProtection="1">
      <alignment horizontal="center" vertical="center"/>
      <protection hidden="1"/>
    </xf>
    <xf numFmtId="0" fontId="0" fillId="31" borderId="129" xfId="0" applyFill="1" applyBorder="1" applyAlignment="1" applyProtection="1">
      <alignment horizontal="center" vertical="center"/>
      <protection hidden="1"/>
    </xf>
    <xf numFmtId="0" fontId="0" fillId="0" borderId="172" xfId="0" applyBorder="1" applyAlignment="1" applyProtection="1">
      <alignment horizontal="left"/>
      <protection hidden="1"/>
    </xf>
    <xf numFmtId="0" fontId="0" fillId="0" borderId="172" xfId="0" applyBorder="1" applyAlignment="1" applyProtection="1">
      <alignment horizontal="center"/>
      <protection hidden="1"/>
    </xf>
    <xf numFmtId="0" fontId="0" fillId="0" borderId="173" xfId="0" applyBorder="1" applyAlignment="1" applyProtection="1">
      <alignment horizontal="center"/>
      <protection hidden="1"/>
    </xf>
    <xf numFmtId="0" fontId="0" fillId="0" borderId="173" xfId="0" applyBorder="1" applyProtection="1">
      <protection hidden="1"/>
    </xf>
    <xf numFmtId="0" fontId="3" fillId="0" borderId="172" xfId="0" applyFont="1" applyBorder="1" applyAlignment="1" applyProtection="1">
      <alignment horizontal="left"/>
      <protection hidden="1"/>
    </xf>
    <xf numFmtId="0" fontId="3" fillId="0" borderId="172" xfId="0" applyFont="1" applyBorder="1" applyAlignment="1" applyProtection="1">
      <alignment horizontal="center" vertical="center"/>
      <protection hidden="1"/>
    </xf>
    <xf numFmtId="0" fontId="0" fillId="0" borderId="172" xfId="0" applyBorder="1" applyAlignment="1" applyProtection="1">
      <alignment horizontal="center" vertical="center"/>
      <protection hidden="1"/>
    </xf>
    <xf numFmtId="0" fontId="0" fillId="31" borderId="130" xfId="0" applyFill="1" applyBorder="1" applyAlignment="1" applyProtection="1">
      <alignment horizontal="center" vertical="center"/>
      <protection hidden="1"/>
    </xf>
    <xf numFmtId="0" fontId="0" fillId="32" borderId="216" xfId="0" applyFill="1" applyBorder="1" applyAlignment="1" applyProtection="1">
      <alignment horizontal="center" vertical="center"/>
      <protection hidden="1"/>
    </xf>
    <xf numFmtId="0" fontId="3" fillId="4" borderId="127" xfId="0" applyFont="1" applyFill="1" applyBorder="1" applyAlignment="1" applyProtection="1">
      <alignment horizontal="center" vertical="center"/>
      <protection hidden="1"/>
    </xf>
    <xf numFmtId="0" fontId="0" fillId="4" borderId="220" xfId="0" applyFill="1" applyBorder="1" applyAlignment="1" applyProtection="1">
      <alignment horizontal="center" vertical="center"/>
      <protection hidden="1"/>
    </xf>
    <xf numFmtId="0" fontId="0" fillId="32" borderId="221" xfId="0" applyFill="1" applyBorder="1" applyAlignment="1" applyProtection="1">
      <alignment horizontal="center" vertical="center"/>
      <protection hidden="1"/>
    </xf>
    <xf numFmtId="0" fontId="0" fillId="2" borderId="131" xfId="0" applyFill="1" applyBorder="1" applyAlignment="1" applyProtection="1">
      <alignment horizontal="center" vertical="center"/>
      <protection hidden="1"/>
    </xf>
    <xf numFmtId="0" fontId="0" fillId="31" borderId="132" xfId="0" applyFill="1" applyBorder="1" applyAlignment="1" applyProtection="1">
      <alignment horizontal="center" vertical="center"/>
      <protection hidden="1"/>
    </xf>
    <xf numFmtId="0" fontId="0" fillId="31" borderId="131" xfId="0" applyFill="1" applyBorder="1" applyAlignment="1" applyProtection="1">
      <alignment horizontal="center" vertical="center"/>
      <protection hidden="1"/>
    </xf>
    <xf numFmtId="0" fontId="0" fillId="31" borderId="143" xfId="0" applyFill="1" applyBorder="1" applyAlignment="1" applyProtection="1">
      <alignment horizontal="center" vertical="center"/>
      <protection hidden="1"/>
    </xf>
    <xf numFmtId="0" fontId="9" fillId="9" borderId="134" xfId="0" applyFont="1" applyFill="1" applyBorder="1" applyAlignment="1" applyProtection="1">
      <alignment horizontal="center" vertical="center"/>
      <protection hidden="1"/>
    </xf>
    <xf numFmtId="0" fontId="0" fillId="0" borderId="135" xfId="0" applyBorder="1" applyAlignment="1" applyProtection="1">
      <alignment horizontal="left"/>
      <protection hidden="1"/>
    </xf>
    <xf numFmtId="0" fontId="0" fillId="0" borderId="136" xfId="0" applyBorder="1" applyAlignment="1" applyProtection="1">
      <alignment horizontal="center"/>
      <protection hidden="1"/>
    </xf>
    <xf numFmtId="0" fontId="0" fillId="0" borderId="136" xfId="0" applyBorder="1" applyProtection="1">
      <protection hidden="1"/>
    </xf>
    <xf numFmtId="0" fontId="0" fillId="9" borderId="118" xfId="0" applyFill="1" applyBorder="1" applyAlignment="1" applyProtection="1">
      <alignment horizontal="left"/>
      <protection hidden="1"/>
    </xf>
    <xf numFmtId="0" fontId="0" fillId="9" borderId="118" xfId="0" applyFill="1" applyBorder="1" applyProtection="1">
      <protection hidden="1"/>
    </xf>
    <xf numFmtId="0" fontId="0" fillId="9" borderId="134" xfId="0" applyFill="1" applyBorder="1" applyProtection="1">
      <protection hidden="1"/>
    </xf>
    <xf numFmtId="0" fontId="0" fillId="32" borderId="215" xfId="0" applyFill="1" applyBorder="1" applyAlignment="1" applyProtection="1">
      <alignment horizontal="center" vertical="center"/>
      <protection hidden="1"/>
    </xf>
    <xf numFmtId="0" fontId="45" fillId="4" borderId="0" xfId="0" applyFont="1" applyFill="1" applyAlignment="1" applyProtection="1">
      <alignment horizontal="center" vertical="center"/>
      <protection hidden="1"/>
    </xf>
    <xf numFmtId="0" fontId="0" fillId="4" borderId="0" xfId="0" applyFill="1" applyProtection="1">
      <protection hidden="1"/>
    </xf>
    <xf numFmtId="0" fontId="9" fillId="14" borderId="175" xfId="0" applyFont="1" applyFill="1" applyBorder="1" applyAlignment="1" applyProtection="1">
      <alignment horizontal="center"/>
      <protection hidden="1"/>
    </xf>
    <xf numFmtId="0" fontId="0" fillId="0" borderId="176" xfId="0" applyBorder="1" applyAlignment="1" applyProtection="1">
      <alignment horizontal="left"/>
      <protection hidden="1"/>
    </xf>
    <xf numFmtId="0" fontId="0" fillId="0" borderId="177" xfId="0" applyBorder="1" applyAlignment="1" applyProtection="1">
      <alignment horizontal="center"/>
      <protection hidden="1"/>
    </xf>
    <xf numFmtId="0" fontId="0" fillId="0" borderId="178" xfId="0" applyBorder="1" applyAlignment="1" applyProtection="1">
      <alignment horizontal="center"/>
      <protection hidden="1"/>
    </xf>
    <xf numFmtId="0" fontId="0" fillId="0" borderId="178" xfId="0" applyBorder="1" applyProtection="1">
      <protection hidden="1"/>
    </xf>
    <xf numFmtId="0" fontId="0" fillId="2" borderId="179" xfId="0" applyFill="1" applyBorder="1" applyProtection="1">
      <protection hidden="1"/>
    </xf>
    <xf numFmtId="0" fontId="0" fillId="14" borderId="179" xfId="0" applyFill="1" applyBorder="1" applyAlignment="1" applyProtection="1">
      <alignment horizontal="left"/>
      <protection hidden="1"/>
    </xf>
    <xf numFmtId="0" fontId="0" fillId="14" borderId="179" xfId="0" applyFill="1" applyBorder="1" applyProtection="1">
      <protection hidden="1"/>
    </xf>
    <xf numFmtId="0" fontId="0" fillId="14" borderId="180" xfId="0" applyFill="1" applyBorder="1" applyProtection="1">
      <protection hidden="1"/>
    </xf>
    <xf numFmtId="0" fontId="3" fillId="2" borderId="122" xfId="0" applyFont="1" applyFill="1" applyBorder="1" applyProtection="1">
      <protection hidden="1"/>
    </xf>
    <xf numFmtId="0" fontId="0" fillId="2" borderId="122" xfId="0" applyFill="1" applyBorder="1" applyAlignment="1" applyProtection="1">
      <alignment horizontal="left"/>
      <protection hidden="1"/>
    </xf>
    <xf numFmtId="0" fontId="0" fillId="2" borderId="122" xfId="0" applyFill="1" applyBorder="1" applyAlignment="1" applyProtection="1">
      <alignment horizontal="center"/>
      <protection hidden="1"/>
    </xf>
    <xf numFmtId="0" fontId="0" fillId="2" borderId="0" xfId="0" applyFill="1" applyAlignment="1" applyProtection="1">
      <alignment horizontal="left"/>
      <protection hidden="1"/>
    </xf>
    <xf numFmtId="0" fontId="0" fillId="2" borderId="159" xfId="0" applyFill="1" applyBorder="1" applyAlignment="1" applyProtection="1">
      <alignment horizontal="center" vertical="center"/>
      <protection hidden="1"/>
    </xf>
    <xf numFmtId="0" fontId="3" fillId="32" borderId="149" xfId="0" applyFont="1" applyFill="1" applyBorder="1" applyAlignment="1" applyProtection="1">
      <alignment horizontal="center" vertical="center"/>
      <protection hidden="1"/>
    </xf>
    <xf numFmtId="0" fontId="0" fillId="32" borderId="127" xfId="0" applyFill="1" applyBorder="1" applyAlignment="1" applyProtection="1">
      <alignment horizontal="center" vertical="center"/>
      <protection hidden="1"/>
    </xf>
    <xf numFmtId="0" fontId="0" fillId="32" borderId="128" xfId="0" applyFill="1" applyBorder="1" applyAlignment="1" applyProtection="1">
      <alignment horizontal="center" vertical="center"/>
      <protection hidden="1"/>
    </xf>
    <xf numFmtId="0" fontId="0" fillId="2" borderId="174" xfId="0" applyFill="1" applyBorder="1" applyAlignment="1" applyProtection="1">
      <alignment horizontal="center" vertical="center"/>
      <protection hidden="1"/>
    </xf>
    <xf numFmtId="0" fontId="0" fillId="4" borderId="128" xfId="0" applyFill="1" applyBorder="1" applyAlignment="1" applyProtection="1">
      <alignment horizontal="center" vertical="center"/>
      <protection hidden="1"/>
    </xf>
    <xf numFmtId="0" fontId="0" fillId="2" borderId="142" xfId="0" applyFill="1" applyBorder="1" applyAlignment="1" applyProtection="1">
      <alignment horizontal="center" vertical="center"/>
      <protection hidden="1"/>
    </xf>
    <xf numFmtId="0" fontId="0" fillId="32" borderId="129" xfId="0" applyFill="1" applyBorder="1" applyAlignment="1" applyProtection="1">
      <alignment horizontal="center" vertical="center"/>
      <protection hidden="1"/>
    </xf>
    <xf numFmtId="0" fontId="3" fillId="32" borderId="127" xfId="0" applyFont="1" applyFill="1" applyBorder="1" applyAlignment="1" applyProtection="1">
      <alignment horizontal="center" vertical="center"/>
      <protection hidden="1"/>
    </xf>
    <xf numFmtId="0" fontId="0" fillId="2" borderId="137" xfId="0" applyFill="1" applyBorder="1" applyAlignment="1" applyProtection="1">
      <alignment horizontal="center" vertical="center"/>
      <protection hidden="1"/>
    </xf>
    <xf numFmtId="0" fontId="3" fillId="2" borderId="158" xfId="0" applyFont="1" applyFill="1" applyBorder="1" applyProtection="1">
      <protection hidden="1"/>
    </xf>
    <xf numFmtId="0" fontId="0" fillId="2" borderId="148" xfId="0" applyFill="1" applyBorder="1" applyAlignment="1" applyProtection="1">
      <alignment horizontal="center" vertical="center"/>
      <protection hidden="1"/>
    </xf>
    <xf numFmtId="0" fontId="0" fillId="32" borderId="150" xfId="0" applyFill="1" applyBorder="1" applyAlignment="1" applyProtection="1">
      <alignment horizontal="center" vertical="center"/>
      <protection hidden="1"/>
    </xf>
    <xf numFmtId="0" fontId="0" fillId="4" borderId="150" xfId="0" applyFill="1" applyBorder="1" applyAlignment="1" applyProtection="1">
      <alignment horizontal="center" vertical="center"/>
      <protection hidden="1"/>
    </xf>
    <xf numFmtId="0" fontId="0" fillId="2" borderId="194" xfId="0" applyFill="1" applyBorder="1" applyAlignment="1" applyProtection="1">
      <alignment horizontal="center" vertical="center"/>
      <protection hidden="1"/>
    </xf>
    <xf numFmtId="0" fontId="0" fillId="32" borderId="132" xfId="0" applyFill="1" applyBorder="1" applyAlignment="1" applyProtection="1">
      <alignment horizontal="center" vertical="center"/>
      <protection hidden="1"/>
    </xf>
    <xf numFmtId="0" fontId="9" fillId="11" borderId="0" xfId="0" applyFont="1" applyFill="1" applyAlignment="1" applyProtection="1">
      <alignment horizontal="center"/>
      <protection hidden="1"/>
    </xf>
    <xf numFmtId="0" fontId="0" fillId="0" borderId="138" xfId="0" applyBorder="1" applyAlignment="1" applyProtection="1">
      <alignment horizontal="left"/>
      <protection hidden="1"/>
    </xf>
    <xf numFmtId="0" fontId="0" fillId="0" borderId="139" xfId="0" applyBorder="1" applyAlignment="1" applyProtection="1">
      <alignment horizontal="center"/>
      <protection hidden="1"/>
    </xf>
    <xf numFmtId="0" fontId="0" fillId="0" borderId="140" xfId="0" applyBorder="1" applyAlignment="1" applyProtection="1">
      <alignment horizontal="center"/>
      <protection hidden="1"/>
    </xf>
    <xf numFmtId="0" fontId="0" fillId="0" borderId="140" xfId="0" applyBorder="1" applyProtection="1">
      <protection hidden="1"/>
    </xf>
    <xf numFmtId="0" fontId="0" fillId="2" borderId="139" xfId="0" applyFill="1" applyBorder="1" applyProtection="1">
      <protection hidden="1"/>
    </xf>
    <xf numFmtId="0" fontId="9" fillId="11" borderId="140" xfId="0" applyFont="1" applyFill="1" applyBorder="1" applyAlignment="1" applyProtection="1">
      <alignment horizontal="left" vertical="center"/>
      <protection hidden="1"/>
    </xf>
    <xf numFmtId="0" fontId="9" fillId="11" borderId="140" xfId="0" applyFont="1" applyFill="1" applyBorder="1" applyAlignment="1" applyProtection="1">
      <alignment horizontal="center" vertical="center"/>
      <protection hidden="1"/>
    </xf>
    <xf numFmtId="0" fontId="9" fillId="11" borderId="141" xfId="0" applyFont="1" applyFill="1" applyBorder="1" applyAlignment="1" applyProtection="1">
      <alignment horizontal="center" vertical="center"/>
      <protection hidden="1"/>
    </xf>
    <xf numFmtId="0" fontId="0" fillId="2" borderId="166" xfId="0" applyFill="1" applyBorder="1" applyAlignment="1" applyProtection="1">
      <alignment horizontal="center" vertical="center"/>
      <protection hidden="1"/>
    </xf>
    <xf numFmtId="0" fontId="0" fillId="32" borderId="143" xfId="0" applyFill="1" applyBorder="1" applyAlignment="1" applyProtection="1">
      <alignment horizontal="center" vertical="center"/>
      <protection hidden="1"/>
    </xf>
    <xf numFmtId="0" fontId="9" fillId="23" borderId="181" xfId="0" applyFont="1" applyFill="1" applyBorder="1" applyAlignment="1" applyProtection="1">
      <alignment horizontal="center"/>
      <protection hidden="1"/>
    </xf>
    <xf numFmtId="0" fontId="0" fillId="0" borderId="182" xfId="0" applyBorder="1" applyAlignment="1" applyProtection="1">
      <alignment horizontal="left"/>
      <protection hidden="1"/>
    </xf>
    <xf numFmtId="0" fontId="0" fillId="0" borderId="183" xfId="0" applyBorder="1" applyAlignment="1" applyProtection="1">
      <alignment horizontal="center"/>
      <protection hidden="1"/>
    </xf>
    <xf numFmtId="0" fontId="0" fillId="0" borderId="183" xfId="0" applyBorder="1" applyProtection="1">
      <protection hidden="1"/>
    </xf>
    <xf numFmtId="0" fontId="0" fillId="2" borderId="184" xfId="0" applyFill="1" applyBorder="1" applyProtection="1">
      <protection hidden="1"/>
    </xf>
    <xf numFmtId="0" fontId="9" fillId="23" borderId="183" xfId="0" applyFont="1" applyFill="1" applyBorder="1" applyAlignment="1" applyProtection="1">
      <alignment horizontal="left" vertical="center"/>
      <protection hidden="1"/>
    </xf>
    <xf numFmtId="0" fontId="0" fillId="0" borderId="144" xfId="0" applyBorder="1" applyAlignment="1" applyProtection="1">
      <alignment horizontal="left"/>
      <protection hidden="1"/>
    </xf>
    <xf numFmtId="0" fontId="0" fillId="0" borderId="144" xfId="0" applyBorder="1" applyAlignment="1" applyProtection="1">
      <alignment horizontal="center"/>
      <protection hidden="1"/>
    </xf>
    <xf numFmtId="0" fontId="0" fillId="0" borderId="145" xfId="0" applyBorder="1" applyAlignment="1" applyProtection="1">
      <alignment horizontal="center"/>
      <protection hidden="1"/>
    </xf>
    <xf numFmtId="0" fontId="0" fillId="0" borderId="145" xfId="0" applyBorder="1" applyProtection="1">
      <protection hidden="1"/>
    </xf>
    <xf numFmtId="0" fontId="3" fillId="0" borderId="144" xfId="0" applyFont="1" applyBorder="1" applyAlignment="1" applyProtection="1">
      <alignment horizontal="left"/>
      <protection hidden="1"/>
    </xf>
    <xf numFmtId="0" fontId="3" fillId="0" borderId="145" xfId="0" applyFont="1" applyBorder="1" applyAlignment="1" applyProtection="1">
      <alignment horizontal="center" vertical="center"/>
      <protection hidden="1"/>
    </xf>
    <xf numFmtId="0" fontId="0" fillId="0" borderId="145" xfId="0" applyBorder="1" applyAlignment="1" applyProtection="1">
      <alignment horizontal="center" vertical="center"/>
      <protection hidden="1"/>
    </xf>
    <xf numFmtId="0" fontId="0" fillId="0" borderId="146" xfId="0" applyBorder="1" applyAlignment="1" applyProtection="1">
      <alignment horizontal="center" vertical="center"/>
      <protection hidden="1"/>
    </xf>
    <xf numFmtId="0" fontId="9" fillId="23" borderId="185" xfId="0" applyFont="1" applyFill="1" applyBorder="1" applyAlignment="1" applyProtection="1">
      <alignment horizontal="center"/>
      <protection hidden="1"/>
    </xf>
    <xf numFmtId="0" fontId="0" fillId="0" borderId="186" xfId="0" applyBorder="1" applyAlignment="1" applyProtection="1">
      <alignment horizontal="left"/>
      <protection hidden="1"/>
    </xf>
    <xf numFmtId="0" fontId="0" fillId="0" borderId="187" xfId="0" applyBorder="1" applyAlignment="1" applyProtection="1">
      <alignment horizontal="center"/>
      <protection hidden="1"/>
    </xf>
    <xf numFmtId="0" fontId="0" fillId="0" borderId="187" xfId="0" applyBorder="1" applyProtection="1">
      <protection hidden="1"/>
    </xf>
    <xf numFmtId="0" fontId="3" fillId="0" borderId="187" xfId="0" applyFont="1" applyBorder="1" applyAlignment="1" applyProtection="1">
      <alignment horizontal="left"/>
      <protection hidden="1"/>
    </xf>
    <xf numFmtId="0" fontId="3" fillId="0" borderId="187" xfId="0" applyFont="1" applyBorder="1" applyAlignment="1" applyProtection="1">
      <alignment horizontal="center" vertical="center"/>
      <protection hidden="1"/>
    </xf>
    <xf numFmtId="0" fontId="0" fillId="0" borderId="187" xfId="0" applyBorder="1" applyAlignment="1" applyProtection="1">
      <alignment horizontal="center" vertical="center"/>
      <protection hidden="1"/>
    </xf>
    <xf numFmtId="0" fontId="0" fillId="0" borderId="188" xfId="0" applyBorder="1" applyAlignment="1" applyProtection="1">
      <alignment horizontal="center" vertical="center"/>
      <protection hidden="1"/>
    </xf>
    <xf numFmtId="0" fontId="0" fillId="31" borderId="147" xfId="0" applyFill="1" applyBorder="1" applyAlignment="1" applyProtection="1">
      <alignment horizontal="center" vertical="center"/>
      <protection hidden="1"/>
    </xf>
    <xf numFmtId="0" fontId="0" fillId="31" borderId="133" xfId="0" applyFill="1" applyBorder="1" applyAlignment="1" applyProtection="1">
      <alignment horizontal="center" vertical="center"/>
      <protection hidden="1"/>
    </xf>
    <xf numFmtId="0" fontId="0" fillId="0" borderId="151" xfId="0" applyBorder="1" applyAlignment="1" applyProtection="1">
      <alignment horizontal="left"/>
      <protection hidden="1"/>
    </xf>
    <xf numFmtId="0" fontId="0" fillId="0" borderId="151" xfId="0" applyBorder="1" applyAlignment="1" applyProtection="1">
      <alignment horizontal="center"/>
      <protection hidden="1"/>
    </xf>
    <xf numFmtId="0" fontId="0" fillId="0" borderId="152" xfId="0" applyBorder="1" applyAlignment="1" applyProtection="1">
      <alignment horizontal="center"/>
      <protection hidden="1"/>
    </xf>
    <xf numFmtId="0" fontId="0" fillId="0" borderId="152" xfId="0" applyBorder="1" applyProtection="1">
      <protection hidden="1"/>
    </xf>
    <xf numFmtId="0" fontId="0" fillId="31" borderId="150" xfId="0" applyFill="1" applyBorder="1" applyAlignment="1" applyProtection="1">
      <alignment horizontal="center" vertical="center"/>
      <protection hidden="1"/>
    </xf>
    <xf numFmtId="0" fontId="0" fillId="4" borderId="0" xfId="0" applyFill="1" applyAlignment="1" applyProtection="1">
      <alignment horizontal="center"/>
      <protection hidden="1"/>
    </xf>
    <xf numFmtId="0" fontId="8" fillId="23" borderId="185" xfId="0" applyFont="1" applyFill="1" applyBorder="1" applyAlignment="1" applyProtection="1">
      <alignment horizontal="center"/>
      <protection hidden="1"/>
    </xf>
    <xf numFmtId="0" fontId="3" fillId="0" borderId="151" xfId="0" applyFont="1" applyBorder="1" applyAlignment="1" applyProtection="1">
      <alignment horizontal="left"/>
      <protection hidden="1"/>
    </xf>
    <xf numFmtId="0" fontId="3" fillId="0" borderId="152" xfId="0" applyFont="1" applyBorder="1" applyAlignment="1" applyProtection="1">
      <alignment horizontal="center" vertical="center"/>
      <protection hidden="1"/>
    </xf>
    <xf numFmtId="0" fontId="0" fillId="0" borderId="152" xfId="0" applyBorder="1" applyAlignment="1" applyProtection="1">
      <alignment horizontal="center" vertical="center"/>
      <protection hidden="1"/>
    </xf>
    <xf numFmtId="0" fontId="0" fillId="0" borderId="153" xfId="0" applyBorder="1" applyAlignment="1" applyProtection="1">
      <alignment horizontal="center" vertical="center"/>
      <protection hidden="1"/>
    </xf>
    <xf numFmtId="0" fontId="0" fillId="11" borderId="0" xfId="0" applyFill="1" applyAlignment="1" applyProtection="1">
      <alignment horizontal="center"/>
      <protection hidden="1"/>
    </xf>
    <xf numFmtId="0" fontId="9" fillId="11" borderId="154" xfId="0" applyFont="1" applyFill="1" applyBorder="1" applyAlignment="1" applyProtection="1">
      <alignment horizontal="center"/>
      <protection hidden="1"/>
    </xf>
    <xf numFmtId="0" fontId="0" fillId="0" borderId="155" xfId="0" applyBorder="1" applyAlignment="1" applyProtection="1">
      <alignment horizontal="left"/>
      <protection hidden="1"/>
    </xf>
    <xf numFmtId="0" fontId="0" fillId="0" borderId="156" xfId="0" applyBorder="1" applyAlignment="1" applyProtection="1">
      <alignment horizontal="center"/>
      <protection hidden="1"/>
    </xf>
    <xf numFmtId="0" fontId="0" fillId="0" borderId="157" xfId="0" applyBorder="1" applyAlignment="1" applyProtection="1">
      <alignment horizontal="center"/>
      <protection hidden="1"/>
    </xf>
    <xf numFmtId="0" fontId="0" fillId="0" borderId="157" xfId="0" applyBorder="1" applyProtection="1">
      <protection hidden="1"/>
    </xf>
    <xf numFmtId="0" fontId="0" fillId="2" borderId="158" xfId="0" applyFill="1" applyBorder="1" applyProtection="1">
      <protection hidden="1"/>
    </xf>
    <xf numFmtId="0" fontId="8" fillId="11" borderId="158" xfId="0" applyFont="1" applyFill="1" applyBorder="1" applyAlignment="1" applyProtection="1">
      <alignment horizontal="left"/>
      <protection hidden="1"/>
    </xf>
    <xf numFmtId="0" fontId="8" fillId="11" borderId="158" xfId="0" applyFont="1" applyFill="1" applyBorder="1" applyProtection="1">
      <protection hidden="1"/>
    </xf>
    <xf numFmtId="0" fontId="8" fillId="11" borderId="154" xfId="0" applyFont="1" applyFill="1" applyBorder="1" applyProtection="1">
      <protection hidden="1"/>
    </xf>
    <xf numFmtId="0" fontId="0" fillId="33" borderId="0" xfId="0" applyFill="1" applyAlignment="1" applyProtection="1">
      <alignment horizontal="center"/>
      <protection hidden="1"/>
    </xf>
    <xf numFmtId="0" fontId="8" fillId="23" borderId="189" xfId="0" applyFont="1" applyFill="1" applyBorder="1" applyAlignment="1" applyProtection="1">
      <alignment horizontal="center"/>
      <protection hidden="1"/>
    </xf>
    <xf numFmtId="0" fontId="0" fillId="0" borderId="190" xfId="0" applyBorder="1" applyAlignment="1" applyProtection="1">
      <alignment horizontal="left"/>
      <protection hidden="1"/>
    </xf>
    <xf numFmtId="0" fontId="0" fillId="0" borderId="191" xfId="0" applyBorder="1" applyAlignment="1" applyProtection="1">
      <alignment horizontal="center"/>
      <protection hidden="1"/>
    </xf>
    <xf numFmtId="0" fontId="0" fillId="0" borderId="191" xfId="0" applyBorder="1" applyProtection="1">
      <protection hidden="1"/>
    </xf>
    <xf numFmtId="0" fontId="0" fillId="2" borderId="192" xfId="0" applyFill="1" applyBorder="1" applyProtection="1">
      <protection hidden="1"/>
    </xf>
    <xf numFmtId="0" fontId="8" fillId="23" borderId="192" xfId="0" applyFont="1" applyFill="1" applyBorder="1" applyProtection="1">
      <protection hidden="1"/>
    </xf>
    <xf numFmtId="0" fontId="8" fillId="23" borderId="193" xfId="0" applyFont="1" applyFill="1" applyBorder="1" applyProtection="1">
      <protection hidden="1"/>
    </xf>
    <xf numFmtId="0" fontId="8" fillId="37" borderId="0" xfId="0" applyFont="1" applyFill="1" applyAlignment="1" applyProtection="1">
      <alignment horizontal="center" vertical="center"/>
      <protection hidden="1"/>
    </xf>
    <xf numFmtId="0" fontId="8" fillId="11" borderId="0" xfId="0" applyFont="1" applyFill="1" applyAlignment="1" applyProtection="1">
      <alignment horizontal="center"/>
      <protection hidden="1"/>
    </xf>
    <xf numFmtId="0" fontId="8" fillId="33" borderId="0" xfId="0" applyFont="1" applyFill="1" applyAlignment="1" applyProtection="1">
      <alignment horizontal="center"/>
      <protection hidden="1"/>
    </xf>
    <xf numFmtId="0" fontId="3" fillId="3" borderId="0" xfId="0" applyFont="1" applyFill="1" applyProtection="1">
      <protection hidden="1"/>
    </xf>
    <xf numFmtId="0" fontId="0" fillId="3" borderId="0" xfId="0" applyFill="1" applyAlignment="1" applyProtection="1">
      <alignment horizontal="left"/>
      <protection hidden="1"/>
    </xf>
    <xf numFmtId="0" fontId="3" fillId="3" borderId="0" xfId="0" applyFont="1" applyFill="1" applyAlignment="1" applyProtection="1">
      <alignment horizontal="center"/>
      <protection hidden="1"/>
    </xf>
    <xf numFmtId="0" fontId="0" fillId="3" borderId="0" xfId="0" applyFill="1" applyProtection="1">
      <protection hidden="1"/>
    </xf>
    <xf numFmtId="0" fontId="0" fillId="2" borderId="224" xfId="0" applyFill="1" applyBorder="1" applyProtection="1">
      <protection hidden="1"/>
    </xf>
    <xf numFmtId="0" fontId="3" fillId="2" borderId="232" xfId="0" applyFont="1" applyFill="1" applyBorder="1" applyProtection="1">
      <protection hidden="1"/>
    </xf>
    <xf numFmtId="0" fontId="3" fillId="38" borderId="232" xfId="0" applyFont="1" applyFill="1" applyBorder="1" applyAlignment="1" applyProtection="1">
      <alignment horizontal="centerContinuous"/>
      <protection hidden="1"/>
    </xf>
    <xf numFmtId="0" fontId="3" fillId="39" borderId="232" xfId="0" applyFont="1" applyFill="1" applyBorder="1" applyAlignment="1" applyProtection="1">
      <alignment horizontal="centerContinuous"/>
      <protection hidden="1"/>
    </xf>
    <xf numFmtId="0" fontId="3" fillId="40" borderId="232" xfId="0" applyFont="1" applyFill="1" applyBorder="1" applyAlignment="1" applyProtection="1">
      <alignment horizontal="centerContinuous"/>
      <protection hidden="1"/>
    </xf>
    <xf numFmtId="0" fontId="3" fillId="37" borderId="232" xfId="0" applyFont="1" applyFill="1" applyBorder="1" applyAlignment="1" applyProtection="1">
      <alignment horizontal="centerContinuous"/>
      <protection hidden="1"/>
    </xf>
    <xf numFmtId="0" fontId="3" fillId="33" borderId="232" xfId="0" applyFont="1" applyFill="1" applyBorder="1" applyAlignment="1" applyProtection="1">
      <alignment horizontal="centerContinuous"/>
      <protection hidden="1"/>
    </xf>
    <xf numFmtId="0" fontId="3" fillId="41" borderId="232" xfId="0" applyFont="1" applyFill="1" applyBorder="1" applyAlignment="1" applyProtection="1">
      <alignment horizontal="centerContinuous"/>
      <protection hidden="1"/>
    </xf>
    <xf numFmtId="0" fontId="0" fillId="41" borderId="231" xfId="0" applyFill="1" applyBorder="1" applyAlignment="1" applyProtection="1">
      <alignment horizontal="centerContinuous"/>
      <protection hidden="1"/>
    </xf>
    <xf numFmtId="0" fontId="0" fillId="2" borderId="225" xfId="0" applyFill="1" applyBorder="1" applyProtection="1">
      <protection hidden="1"/>
    </xf>
    <xf numFmtId="0" fontId="0" fillId="2" borderId="0" xfId="0" applyFill="1" applyAlignment="1" applyProtection="1">
      <alignment horizontal="right"/>
      <protection hidden="1"/>
    </xf>
    <xf numFmtId="165" fontId="0" fillId="0" borderId="226" xfId="0" applyNumberFormat="1" applyBorder="1" applyAlignment="1" applyProtection="1">
      <alignment horizontal="centerContinuous"/>
      <protection hidden="1"/>
    </xf>
    <xf numFmtId="165" fontId="0" fillId="2" borderId="226" xfId="0" applyNumberFormat="1" applyFill="1" applyBorder="1" applyAlignment="1" applyProtection="1">
      <alignment horizontal="centerContinuous"/>
      <protection hidden="1"/>
    </xf>
    <xf numFmtId="165" fontId="0" fillId="2" borderId="227" xfId="0" applyNumberFormat="1" applyFill="1" applyBorder="1" applyAlignment="1" applyProtection="1">
      <alignment horizontal="centerContinuous"/>
      <protection hidden="1"/>
    </xf>
    <xf numFmtId="0" fontId="0" fillId="0" borderId="225" xfId="0" applyBorder="1" applyProtection="1">
      <protection hidden="1"/>
    </xf>
    <xf numFmtId="0" fontId="0" fillId="0" borderId="228" xfId="0" applyBorder="1" applyProtection="1">
      <protection hidden="1"/>
    </xf>
    <xf numFmtId="0" fontId="0" fillId="0" borderId="229" xfId="0" applyBorder="1" applyProtection="1">
      <protection hidden="1"/>
    </xf>
    <xf numFmtId="0" fontId="0" fillId="2" borderId="229" xfId="0" applyFill="1" applyBorder="1" applyAlignment="1" applyProtection="1">
      <alignment horizontal="right"/>
      <protection hidden="1"/>
    </xf>
    <xf numFmtId="165" fontId="0" fillId="0" borderId="229" xfId="0" applyNumberFormat="1" applyBorder="1" applyAlignment="1" applyProtection="1">
      <alignment horizontal="centerContinuous"/>
      <protection hidden="1"/>
    </xf>
    <xf numFmtId="165" fontId="0" fillId="0" borderId="234" xfId="0" applyNumberFormat="1" applyBorder="1" applyAlignment="1" applyProtection="1">
      <alignment horizontal="centerContinuous"/>
      <protection hidden="1"/>
    </xf>
    <xf numFmtId="165" fontId="0" fillId="2" borderId="229" xfId="0" applyNumberFormat="1" applyFill="1" applyBorder="1" applyAlignment="1" applyProtection="1">
      <alignment horizontal="centerContinuous"/>
      <protection hidden="1"/>
    </xf>
    <xf numFmtId="165" fontId="0" fillId="2" borderId="230" xfId="0" applyNumberFormat="1" applyFill="1" applyBorder="1" applyAlignment="1" applyProtection="1">
      <alignment horizontal="centerContinuous"/>
      <protection hidden="1"/>
    </xf>
    <xf numFmtId="14" fontId="40" fillId="2" borderId="0" xfId="90" applyNumberFormat="1" applyFill="1" applyAlignment="1" applyProtection="1">
      <alignment horizontal="left" vertical="top"/>
      <protection hidden="1"/>
    </xf>
    <xf numFmtId="0" fontId="8" fillId="0" borderId="195" xfId="0" applyFont="1" applyBorder="1" applyProtection="1">
      <protection hidden="1"/>
    </xf>
    <xf numFmtId="20" fontId="8" fillId="0" borderId="195" xfId="0" applyNumberFormat="1" applyFont="1" applyBorder="1" applyProtection="1">
      <protection hidden="1"/>
    </xf>
    <xf numFmtId="0" fontId="9" fillId="0" borderId="0" xfId="0" quotePrefix="1" applyFont="1" applyProtection="1">
      <protection hidden="1"/>
    </xf>
    <xf numFmtId="20" fontId="8" fillId="0" borderId="0" xfId="0" applyNumberFormat="1" applyFont="1" applyProtection="1">
      <protection hidden="1"/>
    </xf>
    <xf numFmtId="22" fontId="24" fillId="0" borderId="0" xfId="0" applyNumberFormat="1" applyFont="1" applyAlignment="1" applyProtection="1">
      <alignment horizontal="center" vertical="center"/>
      <protection hidden="1"/>
    </xf>
    <xf numFmtId="22" fontId="8" fillId="0" borderId="0" xfId="0" applyNumberFormat="1" applyFont="1" applyProtection="1">
      <protection hidden="1"/>
    </xf>
    <xf numFmtId="22" fontId="24" fillId="0" borderId="0" xfId="0" applyNumberFormat="1" applyFont="1" applyProtection="1">
      <protection hidden="1"/>
    </xf>
    <xf numFmtId="22" fontId="31" fillId="0" borderId="0" xfId="0" applyNumberFormat="1" applyFont="1" applyProtection="1">
      <protection hidden="1"/>
    </xf>
    <xf numFmtId="22" fontId="31" fillId="0" borderId="0" xfId="0" applyNumberFormat="1" applyFont="1" applyAlignment="1" applyProtection="1">
      <alignment vertical="center"/>
      <protection hidden="1"/>
    </xf>
    <xf numFmtId="22" fontId="24" fillId="0" borderId="0" xfId="0" quotePrefix="1" applyNumberFormat="1" applyFont="1" applyAlignment="1" applyProtection="1">
      <alignment horizontal="center" vertical="center"/>
      <protection hidden="1"/>
    </xf>
    <xf numFmtId="22" fontId="31" fillId="0" borderId="0" xfId="0" applyNumberFormat="1" applyFont="1" applyAlignment="1" applyProtection="1">
      <alignment horizontal="centerContinuous" vertical="center"/>
      <protection hidden="1"/>
    </xf>
    <xf numFmtId="16" fontId="8" fillId="0" borderId="0" xfId="0" quotePrefix="1" applyNumberFormat="1" applyFont="1" applyProtection="1">
      <protection hidden="1"/>
    </xf>
    <xf numFmtId="0" fontId="21" fillId="0" borderId="0" xfId="0" applyFont="1" applyProtection="1">
      <protection hidden="1"/>
    </xf>
    <xf numFmtId="0" fontId="8" fillId="9" borderId="20" xfId="0" applyFont="1" applyFill="1" applyBorder="1" applyAlignment="1" applyProtection="1">
      <alignment horizontal="center"/>
      <protection locked="0" hidden="1"/>
    </xf>
    <xf numFmtId="0" fontId="8" fillId="9" borderId="2" xfId="0" applyFont="1" applyFill="1" applyBorder="1" applyAlignment="1" applyProtection="1">
      <alignment horizontal="center"/>
      <protection locked="0" hidden="1"/>
    </xf>
    <xf numFmtId="0" fontId="8" fillId="9" borderId="28" xfId="0" applyFont="1" applyFill="1" applyBorder="1" applyAlignment="1" applyProtection="1">
      <alignment horizontal="center"/>
      <protection locked="0" hidden="1"/>
    </xf>
    <xf numFmtId="0" fontId="8" fillId="11" borderId="34" xfId="0" applyFont="1" applyFill="1" applyBorder="1" applyAlignment="1" applyProtection="1">
      <alignment horizontal="center"/>
      <protection locked="0" hidden="1"/>
    </xf>
    <xf numFmtId="0" fontId="8" fillId="11" borderId="2" xfId="0" applyFont="1" applyFill="1" applyBorder="1" applyAlignment="1" applyProtection="1">
      <alignment horizontal="center"/>
      <protection locked="0" hidden="1"/>
    </xf>
    <xf numFmtId="0" fontId="8" fillId="11" borderId="42" xfId="0" applyFont="1" applyFill="1" applyBorder="1" applyAlignment="1" applyProtection="1">
      <alignment horizontal="center"/>
      <protection locked="0" hidden="1"/>
    </xf>
    <xf numFmtId="0" fontId="8" fillId="14" borderId="48" xfId="0" applyFont="1" applyFill="1" applyBorder="1" applyAlignment="1" applyProtection="1">
      <alignment horizontal="center"/>
      <protection locked="0" hidden="1"/>
    </xf>
    <xf numFmtId="0" fontId="8" fillId="14" borderId="2" xfId="0" applyFont="1" applyFill="1" applyBorder="1" applyAlignment="1" applyProtection="1">
      <alignment horizontal="center"/>
      <protection locked="0" hidden="1"/>
    </xf>
    <xf numFmtId="0" fontId="8" fillId="14" borderId="56" xfId="0" applyFont="1" applyFill="1" applyBorder="1" applyAlignment="1" applyProtection="1">
      <alignment horizontal="center"/>
      <protection locked="0" hidden="1"/>
    </xf>
    <xf numFmtId="0" fontId="8" fillId="23" borderId="96" xfId="0" applyFont="1" applyFill="1" applyBorder="1" applyAlignment="1" applyProtection="1">
      <alignment horizontal="center"/>
      <protection locked="0" hidden="1"/>
    </xf>
    <xf numFmtId="0" fontId="8" fillId="23" borderId="2" xfId="0" applyFont="1" applyFill="1" applyBorder="1" applyAlignment="1" applyProtection="1">
      <alignment horizontal="center"/>
      <protection locked="0" hidden="1"/>
    </xf>
    <xf numFmtId="0" fontId="8" fillId="23" borderId="104" xfId="0" applyFont="1" applyFill="1" applyBorder="1" applyAlignment="1" applyProtection="1">
      <alignment horizontal="center"/>
      <protection locked="0" hidden="1"/>
    </xf>
    <xf numFmtId="0" fontId="8" fillId="0" borderId="0" xfId="90" applyFont="1" applyProtection="1">
      <protection hidden="1"/>
    </xf>
    <xf numFmtId="17" fontId="8" fillId="0" borderId="0" xfId="0" applyNumberFormat="1" applyFont="1" applyProtection="1">
      <protection hidden="1"/>
    </xf>
    <xf numFmtId="0" fontId="9" fillId="18" borderId="73" xfId="0" applyFont="1" applyFill="1" applyBorder="1" applyAlignment="1" applyProtection="1">
      <alignment horizontal="center"/>
      <protection locked="0" hidden="1"/>
    </xf>
    <xf numFmtId="0" fontId="8" fillId="18" borderId="60" xfId="0" applyFont="1" applyFill="1" applyBorder="1" applyAlignment="1" applyProtection="1">
      <alignment horizontal="left" vertical="center"/>
      <protection hidden="1"/>
    </xf>
    <xf numFmtId="0" fontId="34" fillId="15" borderId="0" xfId="0" applyFont="1" applyFill="1" applyAlignment="1" applyProtection="1">
      <alignment horizontal="left" vertical="center"/>
      <protection hidden="1"/>
    </xf>
    <xf numFmtId="0" fontId="9" fillId="18" borderId="3" xfId="0" applyFont="1" applyFill="1" applyBorder="1" applyAlignment="1" applyProtection="1">
      <alignment horizontal="center"/>
      <protection locked="0" hidden="1"/>
    </xf>
    <xf numFmtId="0" fontId="8" fillId="18" borderId="65" xfId="0" applyFont="1" applyFill="1" applyBorder="1" applyAlignment="1" applyProtection="1">
      <alignment horizontal="left" vertical="center"/>
      <protection hidden="1"/>
    </xf>
    <xf numFmtId="0" fontId="9" fillId="18" borderId="76" xfId="0" applyFont="1" applyFill="1" applyBorder="1" applyAlignment="1" applyProtection="1">
      <alignment horizontal="center"/>
      <protection locked="0" hidden="1"/>
    </xf>
    <xf numFmtId="0" fontId="8" fillId="18" borderId="63" xfId="0" applyFont="1" applyFill="1" applyBorder="1" applyAlignment="1" applyProtection="1">
      <alignment horizontal="left" vertical="center"/>
      <protection hidden="1"/>
    </xf>
    <xf numFmtId="0" fontId="17" fillId="15" borderId="0" xfId="0" applyFont="1" applyFill="1" applyAlignment="1" applyProtection="1">
      <alignment horizontal="center" vertical="center"/>
      <protection hidden="1"/>
    </xf>
    <xf numFmtId="0" fontId="34" fillId="15" borderId="0" xfId="0" applyFont="1" applyFill="1" applyAlignment="1" applyProtection="1">
      <alignment horizontal="center" vertical="center"/>
      <protection hidden="1"/>
    </xf>
    <xf numFmtId="0" fontId="27" fillId="15" borderId="0" xfId="0" applyFont="1" applyFill="1" applyAlignment="1" applyProtection="1">
      <alignment horizontal="center" vertical="center"/>
      <protection hidden="1"/>
    </xf>
    <xf numFmtId="0" fontId="9" fillId="18" borderId="59" xfId="0" applyFont="1" applyFill="1" applyBorder="1" applyAlignment="1" applyProtection="1">
      <alignment horizontal="center" vertical="center"/>
      <protection locked="0" hidden="1"/>
    </xf>
    <xf numFmtId="0" fontId="9" fillId="18" borderId="73" xfId="0" applyFont="1" applyFill="1" applyBorder="1" applyAlignment="1" applyProtection="1">
      <alignment horizontal="center" vertical="center"/>
      <protection locked="0" hidden="1"/>
    </xf>
    <xf numFmtId="0" fontId="8" fillId="18" borderId="60" xfId="0" applyFont="1" applyFill="1" applyBorder="1" applyAlignment="1" applyProtection="1">
      <alignment vertical="center"/>
      <protection hidden="1"/>
    </xf>
    <xf numFmtId="0" fontId="9" fillId="18" borderId="62" xfId="0" applyFont="1" applyFill="1" applyBorder="1" applyAlignment="1" applyProtection="1">
      <alignment horizontal="center" vertical="center"/>
      <protection locked="0" hidden="1"/>
    </xf>
    <xf numFmtId="0" fontId="9" fillId="18" borderId="76" xfId="0" applyFont="1" applyFill="1" applyBorder="1" applyAlignment="1" applyProtection="1">
      <alignment horizontal="center" vertical="center"/>
      <protection locked="0" hidden="1"/>
    </xf>
    <xf numFmtId="0" fontId="8" fillId="18" borderId="63" xfId="0" applyFont="1" applyFill="1" applyBorder="1" applyAlignment="1" applyProtection="1">
      <alignment vertical="center"/>
      <protection hidden="1"/>
    </xf>
    <xf numFmtId="0" fontId="8" fillId="0" borderId="0" xfId="0" applyFont="1" applyAlignment="1" applyProtection="1">
      <alignment horizontal="left" indent="1"/>
      <protection hidden="1"/>
    </xf>
    <xf numFmtId="0" fontId="42" fillId="15" borderId="0" xfId="0" applyFont="1" applyFill="1" applyAlignment="1" applyProtection="1">
      <alignment horizontal="center" vertical="center"/>
      <protection hidden="1"/>
    </xf>
    <xf numFmtId="0" fontId="9" fillId="8" borderId="67" xfId="0" applyFont="1" applyFill="1" applyBorder="1" applyAlignment="1" applyProtection="1">
      <alignment horizontal="center" vertical="center"/>
      <protection locked="0" hidden="1"/>
    </xf>
    <xf numFmtId="0" fontId="9" fillId="8" borderId="69" xfId="0" applyFont="1" applyFill="1" applyBorder="1" applyAlignment="1" applyProtection="1">
      <alignment horizontal="center" vertical="center"/>
      <protection locked="0" hidden="1"/>
    </xf>
    <xf numFmtId="0" fontId="8" fillId="8" borderId="70" xfId="0" applyFont="1" applyFill="1" applyBorder="1" applyAlignment="1" applyProtection="1">
      <alignment vertical="center"/>
      <protection hidden="1"/>
    </xf>
    <xf numFmtId="0" fontId="28" fillId="5" borderId="80" xfId="0" applyFont="1" applyFill="1" applyBorder="1" applyAlignment="1" applyProtection="1">
      <alignment vertical="center"/>
      <protection hidden="1"/>
    </xf>
    <xf numFmtId="0" fontId="20" fillId="8" borderId="5" xfId="0" applyFont="1" applyFill="1" applyBorder="1" applyAlignment="1" applyProtection="1">
      <alignment vertical="center"/>
      <protection hidden="1"/>
    </xf>
    <xf numFmtId="0" fontId="20" fillId="8" borderId="85" xfId="0" applyFont="1" applyFill="1" applyBorder="1" applyAlignment="1" applyProtection="1">
      <alignment vertical="center"/>
      <protection hidden="1"/>
    </xf>
    <xf numFmtId="0" fontId="43" fillId="21" borderId="90" xfId="0" applyFont="1" applyFill="1" applyBorder="1" applyAlignment="1" applyProtection="1">
      <alignment vertical="center"/>
      <protection locked="0" hidden="1"/>
    </xf>
    <xf numFmtId="0" fontId="18" fillId="0" borderId="0" xfId="0" applyFont="1" applyAlignment="1" applyProtection="1">
      <alignment horizontal="center"/>
      <protection hidden="1"/>
    </xf>
    <xf numFmtId="2" fontId="8" fillId="0" borderId="0" xfId="0" applyNumberFormat="1" applyFont="1" applyProtection="1">
      <protection hidden="1"/>
    </xf>
    <xf numFmtId="0" fontId="18" fillId="2" borderId="0" xfId="0" applyFont="1" applyFill="1" applyAlignment="1" applyProtection="1">
      <alignment horizontal="center"/>
      <protection hidden="1"/>
    </xf>
    <xf numFmtId="0" fontId="8" fillId="0" borderId="0" xfId="0" applyFont="1" applyAlignment="1" applyProtection="1">
      <alignment horizontal="left"/>
      <protection hidden="1"/>
    </xf>
    <xf numFmtId="0" fontId="57" fillId="0" borderId="0" xfId="0" applyFont="1" applyAlignment="1" applyProtection="1">
      <alignment horizontal="center" wrapText="1"/>
      <protection hidden="1"/>
    </xf>
    <xf numFmtId="0" fontId="8" fillId="0" borderId="196" xfId="0" applyFont="1" applyBorder="1" applyProtection="1">
      <protection hidden="1"/>
    </xf>
    <xf numFmtId="0" fontId="8" fillId="0" borderId="197" xfId="0" applyFont="1" applyBorder="1" applyProtection="1">
      <protection hidden="1"/>
    </xf>
    <xf numFmtId="0" fontId="8" fillId="0" borderId="198" xfId="0" applyFont="1" applyBorder="1" applyProtection="1">
      <protection hidden="1"/>
    </xf>
    <xf numFmtId="0" fontId="8" fillId="0" borderId="199" xfId="0" applyFont="1" applyBorder="1" applyProtection="1">
      <protection hidden="1"/>
    </xf>
    <xf numFmtId="0" fontId="8" fillId="0" borderId="200" xfId="0" applyFont="1" applyBorder="1" applyProtection="1">
      <protection hidden="1"/>
    </xf>
    <xf numFmtId="0" fontId="8" fillId="0" borderId="201" xfId="0" applyFont="1" applyBorder="1" applyProtection="1">
      <protection hidden="1"/>
    </xf>
    <xf numFmtId="0" fontId="8" fillId="0" borderId="202" xfId="0" applyFont="1" applyBorder="1" applyProtection="1">
      <protection hidden="1"/>
    </xf>
    <xf numFmtId="0" fontId="8" fillId="0" borderId="0" xfId="0" applyFont="1"/>
    <xf numFmtId="0" fontId="8" fillId="0" borderId="203" xfId="0" applyFont="1" applyBorder="1" applyProtection="1">
      <protection hidden="1"/>
    </xf>
    <xf numFmtId="0" fontId="8" fillId="0" borderId="0" xfId="0" applyFont="1" applyAlignment="1" applyProtection="1">
      <alignment wrapText="1"/>
      <protection hidden="1"/>
    </xf>
    <xf numFmtId="0" fontId="38" fillId="0" borderId="0" xfId="0" applyFont="1" applyAlignment="1" applyProtection="1">
      <alignment vertical="center"/>
      <protection hidden="1"/>
    </xf>
    <xf numFmtId="0" fontId="12" fillId="0" borderId="112" xfId="0" applyFont="1" applyBorder="1" applyAlignment="1" applyProtection="1">
      <alignment vertical="center" wrapText="1"/>
      <protection hidden="1"/>
    </xf>
    <xf numFmtId="0" fontId="8" fillId="0" borderId="204" xfId="0" applyFont="1" applyBorder="1" applyProtection="1">
      <protection hidden="1"/>
    </xf>
    <xf numFmtId="0" fontId="8" fillId="0" borderId="205" xfId="0" applyFont="1" applyBorder="1" applyProtection="1">
      <protection hidden="1"/>
    </xf>
    <xf numFmtId="0" fontId="8" fillId="0" borderId="206" xfId="0" applyFont="1" applyBorder="1" applyProtection="1">
      <protection hidden="1"/>
    </xf>
    <xf numFmtId="0" fontId="51" fillId="2" borderId="0" xfId="0" applyFont="1" applyFill="1" applyAlignment="1" applyProtection="1">
      <alignment horizontal="center"/>
      <protection hidden="1"/>
    </xf>
    <xf numFmtId="0" fontId="52" fillId="35" borderId="209" xfId="27" applyFont="1" applyFill="1" applyBorder="1" applyAlignment="1" applyProtection="1">
      <alignment horizontal="center" vertical="center"/>
      <protection locked="0" hidden="1"/>
    </xf>
    <xf numFmtId="0" fontId="52" fillId="35" borderId="208" xfId="0" applyFont="1" applyFill="1" applyBorder="1" applyAlignment="1" applyProtection="1">
      <alignment horizontal="center" vertical="center"/>
      <protection locked="0" hidden="1"/>
    </xf>
    <xf numFmtId="0" fontId="52" fillId="35" borderId="210" xfId="0" applyFont="1" applyFill="1" applyBorder="1" applyAlignment="1" applyProtection="1">
      <alignment horizontal="center" vertical="center"/>
      <protection locked="0" hidden="1"/>
    </xf>
    <xf numFmtId="0" fontId="21" fillId="19" borderId="0" xfId="0" applyFont="1" applyFill="1" applyAlignment="1" applyProtection="1">
      <alignment horizontal="center" vertical="center"/>
      <protection locked="0" hidden="1"/>
    </xf>
    <xf numFmtId="0" fontId="50" fillId="21" borderId="10" xfId="0" applyFont="1" applyFill="1" applyBorder="1" applyAlignment="1" applyProtection="1">
      <alignment horizontal="center" vertical="center" wrapText="1"/>
      <protection hidden="1"/>
    </xf>
    <xf numFmtId="0" fontId="50" fillId="21" borderId="0" xfId="0" applyFont="1" applyFill="1" applyAlignment="1" applyProtection="1">
      <alignment horizontal="center" vertical="center" wrapText="1"/>
      <protection hidden="1"/>
    </xf>
    <xf numFmtId="0" fontId="50" fillId="21" borderId="11" xfId="0" applyFont="1" applyFill="1" applyBorder="1" applyAlignment="1" applyProtection="1">
      <alignment horizontal="center" vertical="center" wrapText="1"/>
      <protection hidden="1"/>
    </xf>
    <xf numFmtId="0" fontId="50" fillId="21" borderId="12" xfId="0" applyFont="1" applyFill="1" applyBorder="1" applyAlignment="1" applyProtection="1">
      <alignment horizontal="center" vertical="center" wrapText="1"/>
      <protection hidden="1"/>
    </xf>
    <xf numFmtId="0" fontId="50" fillId="21" borderId="13" xfId="0" applyFont="1" applyFill="1" applyBorder="1" applyAlignment="1" applyProtection="1">
      <alignment horizontal="center" vertical="center" wrapText="1"/>
      <protection hidden="1"/>
    </xf>
    <xf numFmtId="0" fontId="50" fillId="21" borderId="14" xfId="0" applyFont="1" applyFill="1" applyBorder="1" applyAlignment="1" applyProtection="1">
      <alignment horizontal="center" vertical="center" wrapText="1"/>
      <protection hidden="1"/>
    </xf>
    <xf numFmtId="14" fontId="36" fillId="16" borderId="58" xfId="0" quotePrefix="1" applyNumberFormat="1" applyFont="1" applyFill="1" applyBorder="1" applyAlignment="1" applyProtection="1">
      <alignment horizontal="center" vertical="center"/>
      <protection hidden="1"/>
    </xf>
    <xf numFmtId="14" fontId="36" fillId="16" borderId="61" xfId="0" quotePrefix="1" applyNumberFormat="1" applyFont="1" applyFill="1" applyBorder="1" applyAlignment="1" applyProtection="1">
      <alignment horizontal="center" vertical="center"/>
      <protection hidden="1"/>
    </xf>
    <xf numFmtId="14" fontId="35" fillId="16" borderId="58" xfId="0" quotePrefix="1" applyNumberFormat="1" applyFont="1" applyFill="1" applyBorder="1" applyAlignment="1" applyProtection="1">
      <alignment horizontal="center" vertical="center"/>
      <protection hidden="1"/>
    </xf>
    <xf numFmtId="14" fontId="35" fillId="16" borderId="64" xfId="0" applyNumberFormat="1" applyFont="1" applyFill="1" applyBorder="1" applyAlignment="1" applyProtection="1">
      <alignment horizontal="center" vertical="center"/>
      <protection hidden="1"/>
    </xf>
    <xf numFmtId="14" fontId="35" fillId="16" borderId="61" xfId="0" applyNumberFormat="1" applyFont="1" applyFill="1" applyBorder="1" applyAlignment="1" applyProtection="1">
      <alignment horizontal="center" vertical="center"/>
      <protection hidden="1"/>
    </xf>
    <xf numFmtId="0" fontId="8" fillId="0" borderId="0" xfId="0" applyFont="1" applyAlignment="1" applyProtection="1">
      <alignment horizontal="center"/>
      <protection hidden="1"/>
    </xf>
    <xf numFmtId="0" fontId="33" fillId="15" borderId="0" xfId="0" applyFont="1" applyFill="1" applyAlignment="1" applyProtection="1">
      <alignment horizontal="center" vertical="center" wrapText="1"/>
      <protection hidden="1"/>
    </xf>
    <xf numFmtId="14" fontId="30" fillId="10" borderId="16" xfId="0" applyNumberFormat="1" applyFont="1" applyFill="1" applyBorder="1" applyAlignment="1" applyProtection="1">
      <alignment horizontal="center" vertical="center" textRotation="2"/>
      <protection hidden="1"/>
    </xf>
    <xf numFmtId="14" fontId="30" fillId="10" borderId="22" xfId="0" applyNumberFormat="1" applyFont="1" applyFill="1" applyBorder="1" applyAlignment="1" applyProtection="1">
      <alignment horizontal="center" vertical="center" textRotation="2"/>
      <protection hidden="1"/>
    </xf>
    <xf numFmtId="14" fontId="30" fillId="10" borderId="24" xfId="0" applyNumberFormat="1" applyFont="1" applyFill="1" applyBorder="1" applyAlignment="1" applyProtection="1">
      <alignment horizontal="center" vertical="center" textRotation="2"/>
      <protection hidden="1"/>
    </xf>
    <xf numFmtId="14" fontId="30" fillId="12" borderId="30" xfId="0" applyNumberFormat="1" applyFont="1" applyFill="1" applyBorder="1" applyAlignment="1" applyProtection="1">
      <alignment horizontal="center" vertical="center" textRotation="2"/>
      <protection hidden="1"/>
    </xf>
    <xf numFmtId="14" fontId="30" fillId="12" borderId="36" xfId="0" applyNumberFormat="1" applyFont="1" applyFill="1" applyBorder="1" applyAlignment="1" applyProtection="1">
      <alignment horizontal="center" vertical="center" textRotation="2"/>
      <protection hidden="1"/>
    </xf>
    <xf numFmtId="14" fontId="30" fillId="12" borderId="38" xfId="0" applyNumberFormat="1" applyFont="1" applyFill="1" applyBorder="1" applyAlignment="1" applyProtection="1">
      <alignment horizontal="center" vertical="center" textRotation="2"/>
      <protection hidden="1"/>
    </xf>
    <xf numFmtId="0" fontId="19" fillId="21" borderId="7" xfId="0" applyFont="1" applyFill="1" applyBorder="1" applyAlignment="1" applyProtection="1">
      <alignment horizontal="center" vertical="center" wrapText="1"/>
      <protection hidden="1"/>
    </xf>
    <xf numFmtId="0" fontId="19" fillId="21" borderId="8" xfId="0" applyFont="1" applyFill="1" applyBorder="1" applyAlignment="1" applyProtection="1">
      <alignment horizontal="center" vertical="center" wrapText="1"/>
      <protection hidden="1"/>
    </xf>
    <xf numFmtId="0" fontId="19" fillId="21" borderId="9" xfId="0" applyFont="1" applyFill="1" applyBorder="1" applyAlignment="1" applyProtection="1">
      <alignment horizontal="center" vertical="center" wrapText="1"/>
      <protection hidden="1"/>
    </xf>
    <xf numFmtId="0" fontId="19" fillId="21" borderId="10" xfId="0" applyFont="1" applyFill="1" applyBorder="1" applyAlignment="1" applyProtection="1">
      <alignment horizontal="center" vertical="center" wrapText="1"/>
      <protection hidden="1"/>
    </xf>
    <xf numFmtId="0" fontId="19" fillId="21" borderId="0" xfId="0" applyFont="1" applyFill="1" applyAlignment="1" applyProtection="1">
      <alignment horizontal="center" vertical="center" wrapText="1"/>
      <protection hidden="1"/>
    </xf>
    <xf numFmtId="0" fontId="19" fillId="21" borderId="11" xfId="0" applyFont="1" applyFill="1" applyBorder="1" applyAlignment="1" applyProtection="1">
      <alignment horizontal="center" vertical="center" wrapText="1"/>
      <protection hidden="1"/>
    </xf>
    <xf numFmtId="14" fontId="30" fillId="13" borderId="44" xfId="0" applyNumberFormat="1" applyFont="1" applyFill="1" applyBorder="1" applyAlignment="1" applyProtection="1">
      <alignment horizontal="center" vertical="center"/>
      <protection hidden="1"/>
    </xf>
    <xf numFmtId="14" fontId="30" fillId="13" borderId="50" xfId="0" applyNumberFormat="1" applyFont="1" applyFill="1" applyBorder="1" applyAlignment="1" applyProtection="1">
      <alignment horizontal="center" vertical="center"/>
      <protection hidden="1"/>
    </xf>
    <xf numFmtId="14" fontId="30" fillId="13" borderId="52" xfId="0" applyNumberFormat="1" applyFont="1" applyFill="1" applyBorder="1" applyAlignment="1" applyProtection="1">
      <alignment horizontal="center" vertical="center"/>
      <protection hidden="1"/>
    </xf>
    <xf numFmtId="14" fontId="30" fillId="22" borderId="92" xfId="0" applyNumberFormat="1" applyFont="1" applyFill="1" applyBorder="1" applyAlignment="1" applyProtection="1">
      <alignment horizontal="center" vertical="center"/>
      <protection hidden="1"/>
    </xf>
    <xf numFmtId="14" fontId="30" fillId="22" borderId="98" xfId="0" applyNumberFormat="1" applyFont="1" applyFill="1" applyBorder="1" applyAlignment="1" applyProtection="1">
      <alignment horizontal="center" vertical="center"/>
      <protection hidden="1"/>
    </xf>
    <xf numFmtId="14" fontId="30" fillId="22" borderId="100" xfId="0" applyNumberFormat="1" applyFont="1" applyFill="1" applyBorder="1" applyAlignment="1" applyProtection="1">
      <alignment horizontal="center" vertical="center"/>
      <protection hidden="1"/>
    </xf>
    <xf numFmtId="0" fontId="39" fillId="29" borderId="116" xfId="0" applyFont="1" applyFill="1" applyBorder="1" applyAlignment="1">
      <alignment horizontal="left" vertical="center" wrapText="1"/>
    </xf>
    <xf numFmtId="0" fontId="39" fillId="29" borderId="114" xfId="0" applyFont="1" applyFill="1" applyBorder="1" applyAlignment="1">
      <alignment horizontal="left" vertical="center" wrapText="1"/>
    </xf>
    <xf numFmtId="0" fontId="39" fillId="29" borderId="117" xfId="0" applyFont="1" applyFill="1" applyBorder="1" applyAlignment="1">
      <alignment horizontal="left" vertical="center" wrapText="1"/>
    </xf>
    <xf numFmtId="0" fontId="39" fillId="30" borderId="111" xfId="0" applyFont="1" applyFill="1" applyBorder="1" applyAlignment="1">
      <alignment horizontal="left" vertical="center" wrapText="1"/>
    </xf>
    <xf numFmtId="0" fontId="39" fillId="30" borderId="112" xfId="0" applyFont="1" applyFill="1" applyBorder="1" applyAlignment="1">
      <alignment horizontal="left" vertical="center" wrapText="1"/>
    </xf>
    <xf numFmtId="0" fontId="39" fillId="30" borderId="113" xfId="0" applyFont="1" applyFill="1" applyBorder="1" applyAlignment="1">
      <alignment horizontal="left" vertical="center" wrapText="1"/>
    </xf>
    <xf numFmtId="14" fontId="30" fillId="16" borderId="0" xfId="0" quotePrefix="1" applyNumberFormat="1" applyFont="1" applyFill="1" applyAlignment="1" applyProtection="1">
      <alignment horizontal="center" vertical="top"/>
      <protection hidden="1"/>
    </xf>
    <xf numFmtId="0" fontId="0" fillId="30" borderId="5" xfId="0" applyFill="1" applyBorder="1" applyAlignment="1">
      <alignment horizontal="left" vertical="top" wrapText="1"/>
    </xf>
    <xf numFmtId="0" fontId="0" fillId="30" borderId="0" xfId="0" applyFill="1" applyAlignment="1">
      <alignment horizontal="left" vertical="top" wrapText="1"/>
    </xf>
    <xf numFmtId="14" fontId="30" fillId="17" borderId="0" xfId="0" quotePrefix="1" applyNumberFormat="1" applyFont="1" applyFill="1" applyAlignment="1" applyProtection="1">
      <alignment horizontal="center" vertical="top" wrapText="1"/>
      <protection hidden="1"/>
    </xf>
    <xf numFmtId="14" fontId="30" fillId="17" borderId="0" xfId="0" quotePrefix="1" applyNumberFormat="1" applyFont="1" applyFill="1" applyAlignment="1" applyProtection="1">
      <alignment horizontal="center" vertical="top"/>
      <protection hidden="1"/>
    </xf>
    <xf numFmtId="0" fontId="39" fillId="5" borderId="0" xfId="0" applyFont="1" applyFill="1" applyAlignment="1" applyProtection="1">
      <alignment horizontal="left" vertical="center" wrapText="1"/>
      <protection hidden="1"/>
    </xf>
    <xf numFmtId="14" fontId="36" fillId="17" borderId="0" xfId="0" quotePrefix="1" applyNumberFormat="1" applyFont="1" applyFill="1" applyAlignment="1" applyProtection="1">
      <alignment horizontal="center" vertical="center"/>
      <protection hidden="1"/>
    </xf>
    <xf numFmtId="0" fontId="41" fillId="27" borderId="0" xfId="0" applyFont="1" applyFill="1" applyAlignment="1">
      <alignment horizontal="center" vertical="top"/>
    </xf>
    <xf numFmtId="0" fontId="30" fillId="22" borderId="0" xfId="0" applyFont="1" applyFill="1" applyAlignment="1" applyProtection="1">
      <alignment horizontal="center" vertical="center"/>
      <protection hidden="1"/>
    </xf>
    <xf numFmtId="14" fontId="35" fillId="16" borderId="0" xfId="0" quotePrefix="1" applyNumberFormat="1" applyFont="1" applyFill="1" applyAlignment="1" applyProtection="1">
      <alignment horizontal="center" vertical="center"/>
      <protection hidden="1"/>
    </xf>
    <xf numFmtId="14" fontId="30" fillId="10" borderId="0" xfId="0" applyNumberFormat="1" applyFont="1" applyFill="1" applyAlignment="1" applyProtection="1">
      <alignment horizontal="center" vertical="center" textRotation="2"/>
      <protection hidden="1"/>
    </xf>
    <xf numFmtId="0" fontId="30" fillId="12" borderId="0" xfId="0" applyFont="1" applyFill="1" applyAlignment="1" applyProtection="1">
      <alignment horizontal="center" vertical="center"/>
      <protection hidden="1"/>
    </xf>
    <xf numFmtId="0" fontId="30" fillId="13" borderId="0" xfId="0" applyFont="1" applyFill="1" applyAlignment="1" applyProtection="1">
      <alignment horizontal="center" vertical="center"/>
      <protection hidden="1"/>
    </xf>
    <xf numFmtId="14" fontId="35" fillId="16" borderId="0" xfId="0" applyNumberFormat="1" applyFont="1" applyFill="1" applyAlignment="1" applyProtection="1">
      <alignment horizontal="center" vertical="center"/>
      <protection hidden="1"/>
    </xf>
    <xf numFmtId="14" fontId="36" fillId="16" borderId="0" xfId="0" quotePrefix="1" applyNumberFormat="1" applyFont="1" applyFill="1" applyAlignment="1" applyProtection="1">
      <alignment horizontal="center" vertical="center"/>
      <protection hidden="1"/>
    </xf>
    <xf numFmtId="0" fontId="41" fillId="26" borderId="0" xfId="0" applyFont="1" applyFill="1" applyAlignment="1">
      <alignment horizontal="center" vertical="top"/>
    </xf>
    <xf numFmtId="0" fontId="0" fillId="30" borderId="5" xfId="0" applyFill="1" applyBorder="1" applyAlignment="1">
      <alignment horizontal="left" vertical="center" wrapText="1"/>
    </xf>
    <xf numFmtId="0" fontId="0" fillId="30" borderId="0" xfId="0" applyFill="1" applyAlignment="1">
      <alignment horizontal="left" vertical="center" wrapText="1"/>
    </xf>
    <xf numFmtId="0" fontId="41" fillId="25" borderId="0" xfId="0" applyFont="1" applyFill="1" applyAlignment="1">
      <alignment horizontal="center" vertical="top"/>
    </xf>
    <xf numFmtId="0" fontId="38" fillId="24" borderId="0" xfId="0" applyFont="1" applyFill="1" applyAlignment="1" applyProtection="1">
      <alignment horizontal="center" vertical="center"/>
      <protection hidden="1"/>
    </xf>
    <xf numFmtId="0" fontId="0" fillId="30" borderId="6" xfId="0" applyFill="1" applyBorder="1" applyAlignment="1">
      <alignment horizontal="left" vertical="center" wrapText="1"/>
    </xf>
    <xf numFmtId="0" fontId="0" fillId="30" borderId="1" xfId="0" applyFill="1" applyBorder="1" applyAlignment="1">
      <alignment horizontal="left" vertical="center" wrapText="1"/>
    </xf>
    <xf numFmtId="0" fontId="39" fillId="29" borderId="1" xfId="0" applyFont="1" applyFill="1" applyBorder="1" applyAlignment="1">
      <alignment horizontal="left" vertical="center" wrapText="1"/>
    </xf>
    <xf numFmtId="0" fontId="39" fillId="28" borderId="0" xfId="0" applyFont="1" applyFill="1" applyAlignment="1">
      <alignment horizontal="left" vertical="center" wrapText="1"/>
    </xf>
    <xf numFmtId="0" fontId="39" fillId="28" borderId="4" xfId="0" applyFont="1" applyFill="1" applyBorder="1" applyAlignment="1">
      <alignment horizontal="left" vertical="center" wrapText="1"/>
    </xf>
    <xf numFmtId="0" fontId="40" fillId="2" borderId="0" xfId="90" applyFill="1" applyAlignment="1" applyProtection="1">
      <alignment horizontal="left" vertical="center" wrapText="1"/>
      <protection hidden="1"/>
    </xf>
  </cellXfs>
  <cellStyles count="91">
    <cellStyle name="Collegamento ipertestuale" xfId="1" builtinId="8" hidden="1"/>
    <cellStyle name="Collegamento ipertestuale" xfId="3" builtinId="8" hidden="1"/>
    <cellStyle name="Collegamento ipertestuale" xfId="5" builtinId="8" hidden="1"/>
    <cellStyle name="Collegamento ipertestuale" xfId="7" builtinId="8" hidden="1"/>
    <cellStyle name="Collegamento ipertestuale" xfId="9" builtinId="8" hidden="1"/>
    <cellStyle name="Collegamento ipertestuale" xfId="11" builtinId="8" hidden="1"/>
    <cellStyle name="Collegamento ipertestuale" xfId="13" builtinId="8" hidden="1"/>
    <cellStyle name="Collegamento ipertestuale" xfId="15" builtinId="8" hidden="1"/>
    <cellStyle name="Collegamento ipertestuale" xfId="17" builtinId="8" hidden="1"/>
    <cellStyle name="Collegamento ipertestuale" xfId="19" builtinId="8" hidden="1"/>
    <cellStyle name="Collegamento ipertestuale" xfId="21" builtinId="8" hidden="1"/>
    <cellStyle name="Collegamento ipertestuale" xfId="23" builtinId="8" hidden="1"/>
    <cellStyle name="Collegamento ipertestuale" xfId="25" builtinId="8" hidden="1"/>
    <cellStyle name="Collegamento ipertestuale" xfId="27" builtinId="8"/>
    <cellStyle name="Collegamento ipertestuale visitato" xfId="2" builtinId="9" hidden="1"/>
    <cellStyle name="Collegamento ipertestuale visitato" xfId="4" builtinId="9" hidden="1"/>
    <cellStyle name="Collegamento ipertestuale visitato" xfId="6" builtinId="9" hidden="1"/>
    <cellStyle name="Collegamento ipertestuale visitato" xfId="8" builtinId="9" hidden="1"/>
    <cellStyle name="Collegamento ipertestuale visitato" xfId="10" builtinId="9" hidden="1"/>
    <cellStyle name="Collegamento ipertestuale visitato" xfId="12" builtinId="9" hidden="1"/>
    <cellStyle name="Collegamento ipertestuale visitato" xfId="14" builtinId="9" hidden="1"/>
    <cellStyle name="Collegamento ipertestuale visitato" xfId="16" builtinId="9" hidden="1"/>
    <cellStyle name="Collegamento ipertestuale visitato" xfId="18" builtinId="9" hidden="1"/>
    <cellStyle name="Collegamento ipertestuale visitato" xfId="20" builtinId="9" hidden="1"/>
    <cellStyle name="Collegamento ipertestuale visitato" xfId="22" builtinId="9" hidden="1"/>
    <cellStyle name="Collegamento ipertestuale visitato" xfId="24" builtinId="9" hidden="1"/>
    <cellStyle name="Collegamento ipertestuale visitato" xfId="26" builtinId="9" hidden="1"/>
    <cellStyle name="Collegamento ipertestuale visitato" xfId="28" builtinId="9" hidden="1"/>
    <cellStyle name="Collegamento ipertestuale visitato" xfId="29" builtinId="9" hidden="1"/>
    <cellStyle name="Collegamento ipertestuale visitato" xfId="30" builtinId="9" hidden="1"/>
    <cellStyle name="Collegamento ipertestuale visitato" xfId="31" builtinId="9" hidden="1"/>
    <cellStyle name="Collegamento ipertestuale visitato" xfId="32" builtinId="9" hidden="1"/>
    <cellStyle name="Collegamento ipertestuale visitato" xfId="33" builtinId="9" hidden="1"/>
    <cellStyle name="Collegamento ipertestuale visitato" xfId="34" builtinId="9" hidden="1"/>
    <cellStyle name="Collegamento ipertestuale visitato" xfId="35" builtinId="9" hidden="1"/>
    <cellStyle name="Collegamento ipertestuale visitato" xfId="36" builtinId="9" hidden="1"/>
    <cellStyle name="Collegamento ipertestuale visitato" xfId="37" builtinId="9" hidden="1"/>
    <cellStyle name="Collegamento ipertestuale visitato" xfId="38" builtinId="9" hidden="1"/>
    <cellStyle name="Collegamento ipertestuale visitato" xfId="39" builtinId="9" hidden="1"/>
    <cellStyle name="Collegamento ipertestuale visitato" xfId="40" builtinId="9" hidden="1"/>
    <cellStyle name="Collegamento ipertestuale visitato" xfId="41" builtinId="9" hidden="1"/>
    <cellStyle name="Collegamento ipertestuale visitato" xfId="42" builtinId="9" hidden="1"/>
    <cellStyle name="Collegamento ipertestuale visitato" xfId="43" builtinId="9" hidden="1"/>
    <cellStyle name="Collegamento ipertestuale visitato" xfId="44" builtinId="9" hidden="1"/>
    <cellStyle name="Collegamento ipertestuale visitato" xfId="45" builtinId="9" hidden="1"/>
    <cellStyle name="Collegamento ipertestuale visitato" xfId="46" builtinId="9" hidden="1"/>
    <cellStyle name="Collegamento ipertestuale visitato" xfId="47" builtinId="9" hidden="1"/>
    <cellStyle name="Collegamento ipertestuale visitato" xfId="48" builtinId="9" hidden="1"/>
    <cellStyle name="Collegamento ipertestuale visitato" xfId="49" builtinId="9" hidden="1"/>
    <cellStyle name="Collegamento ipertestuale visitato" xfId="50" builtinId="9" hidden="1"/>
    <cellStyle name="Collegamento ipertestuale visitato" xfId="51" builtinId="9" hidden="1"/>
    <cellStyle name="Collegamento ipertestuale visitato" xfId="52" builtinId="9" hidden="1"/>
    <cellStyle name="Collegamento ipertestuale visitato" xfId="53" builtinId="9" hidden="1"/>
    <cellStyle name="Collegamento ipertestuale visitato" xfId="54" builtinId="9" hidden="1"/>
    <cellStyle name="Collegamento ipertestuale visitato" xfId="55" builtinId="9" hidden="1"/>
    <cellStyle name="Collegamento ipertestuale visitato" xfId="56" builtinId="9" hidden="1"/>
    <cellStyle name="Collegamento ipertestuale visitato" xfId="57" builtinId="9" hidden="1"/>
    <cellStyle name="Collegamento ipertestuale visitato" xfId="58" builtinId="9" hidden="1"/>
    <cellStyle name="Collegamento ipertestuale visitato" xfId="59" builtinId="9" hidden="1"/>
    <cellStyle name="Collegamento ipertestuale visitato" xfId="60" builtinId="9" hidden="1"/>
    <cellStyle name="Collegamento ipertestuale visitato" xfId="61" builtinId="9" hidden="1"/>
    <cellStyle name="Collegamento ipertestuale visitato" xfId="62" builtinId="9" hidden="1"/>
    <cellStyle name="Collegamento ipertestuale visitato" xfId="63" builtinId="9" hidden="1"/>
    <cellStyle name="Collegamento ipertestuale visitato" xfId="64" builtinId="9" hidden="1"/>
    <cellStyle name="Collegamento ipertestuale visitato" xfId="65" builtinId="9" hidden="1"/>
    <cellStyle name="Collegamento ipertestuale visitato" xfId="66" builtinId="9" hidden="1"/>
    <cellStyle name="Collegamento ipertestuale visitato" xfId="67" builtinId="9" hidden="1"/>
    <cellStyle name="Collegamento ipertestuale visitato" xfId="68" builtinId="9" hidden="1"/>
    <cellStyle name="Collegamento ipertestuale visitato" xfId="69" builtinId="9" hidden="1"/>
    <cellStyle name="Collegamento ipertestuale visitato" xfId="70" builtinId="9" hidden="1"/>
    <cellStyle name="Collegamento ipertestuale visitato" xfId="71" builtinId="9" hidden="1"/>
    <cellStyle name="Collegamento ipertestuale visitato" xfId="72" builtinId="9" hidden="1"/>
    <cellStyle name="Collegamento ipertestuale visitato" xfId="73" builtinId="9" hidden="1"/>
    <cellStyle name="Collegamento ipertestuale visitato" xfId="74" builtinId="9" hidden="1"/>
    <cellStyle name="Collegamento ipertestuale visitato" xfId="75" builtinId="9" hidden="1"/>
    <cellStyle name="Collegamento ipertestuale visitato" xfId="76" builtinId="9" hidden="1"/>
    <cellStyle name="Collegamento ipertestuale visitato" xfId="77" builtinId="9" hidden="1"/>
    <cellStyle name="Collegamento ipertestuale visitato" xfId="78" builtinId="9" hidden="1"/>
    <cellStyle name="Collegamento ipertestuale visitato" xfId="79" builtinId="9" hidden="1"/>
    <cellStyle name="Collegamento ipertestuale visitato" xfId="80" builtinId="9" hidden="1"/>
    <cellStyle name="Collegamento ipertestuale visitato" xfId="81" builtinId="9" hidden="1"/>
    <cellStyle name="Collegamento ipertestuale visitato" xfId="82" builtinId="9" hidden="1"/>
    <cellStyle name="Collegamento ipertestuale visitato" xfId="83" builtinId="9" hidden="1"/>
    <cellStyle name="Collegamento ipertestuale visitato" xfId="84" builtinId="9" hidden="1"/>
    <cellStyle name="Collegamento ipertestuale visitato" xfId="85" builtinId="9" hidden="1"/>
    <cellStyle name="Collegamento ipertestuale visitato" xfId="86" builtinId="9" hidden="1"/>
    <cellStyle name="Collegamento ipertestuale visitato" xfId="87" builtinId="9" hidden="1"/>
    <cellStyle name="Collegamento ipertestuale visitato" xfId="88" builtinId="9" hidden="1"/>
    <cellStyle name="Collegamento ipertestuale visitato" xfId="89" builtinId="9" hidden="1"/>
    <cellStyle name="Normal 2" xfId="90" xr:uid="{0AC5020E-4D99-3148-A28E-0E42E9704295}"/>
    <cellStyle name="Normale" xfId="0" builtinId="0"/>
  </cellStyles>
  <dxfs count="56">
    <dxf>
      <font>
        <color rgb="FF9C0006"/>
      </font>
      <fill>
        <patternFill>
          <bgColor rgb="FFFFC7CE"/>
        </patternFill>
      </fill>
    </dxf>
    <dxf>
      <fill>
        <patternFill>
          <bgColor rgb="FFFFC000"/>
        </patternFill>
      </fill>
    </dxf>
    <dxf>
      <fill>
        <patternFill>
          <bgColor rgb="FFC9C9C9"/>
        </patternFill>
      </fill>
    </dxf>
    <dxf>
      <fill>
        <patternFill>
          <bgColor rgb="FFFFAA5F"/>
        </patternFill>
      </fill>
    </dxf>
    <dxf>
      <fill>
        <patternFill>
          <bgColor rgb="FFEBF2DF"/>
        </patternFill>
      </fill>
    </dxf>
    <dxf>
      <fill>
        <patternFill>
          <bgColor rgb="FFDBEEF3"/>
        </patternFill>
      </fill>
    </dxf>
    <dxf>
      <font>
        <color rgb="FF9C0006"/>
      </font>
      <fill>
        <patternFill>
          <bgColor rgb="FFFFC7CE"/>
        </patternFill>
      </fill>
    </dxf>
    <dxf>
      <font>
        <color rgb="FF9C0006"/>
      </font>
      <fill>
        <patternFill>
          <bgColor rgb="FFFFC7CE"/>
        </patternFill>
      </fill>
    </dxf>
    <dxf>
      <font>
        <color theme="0"/>
      </font>
      <fill>
        <patternFill>
          <bgColor rgb="FFC65911"/>
        </patternFill>
      </fill>
      <border>
        <left style="thin">
          <color theme="0"/>
        </left>
        <right style="thin">
          <color theme="0"/>
        </right>
        <top style="thin">
          <color theme="0"/>
        </top>
        <bottom style="thin">
          <color theme="0"/>
        </bottom>
      </border>
    </dxf>
    <dxf>
      <font>
        <color theme="0"/>
      </font>
      <fill>
        <patternFill>
          <bgColor rgb="FF0098A6"/>
        </patternFill>
      </fill>
      <border>
        <left style="thin">
          <color theme="0"/>
        </left>
        <right style="thin">
          <color theme="0"/>
        </right>
        <top style="thin">
          <color theme="0"/>
        </top>
        <bottom style="thin">
          <color theme="0"/>
        </bottom>
      </border>
    </dxf>
    <dxf>
      <font>
        <color theme="0"/>
      </font>
      <fill>
        <patternFill>
          <bgColor rgb="FFFFA800"/>
        </patternFill>
      </fill>
      <border>
        <left style="thin">
          <color theme="0"/>
        </left>
        <right style="thin">
          <color theme="0"/>
        </right>
        <top style="thin">
          <color theme="0"/>
        </top>
        <bottom style="thin">
          <color theme="0"/>
        </bottom>
      </border>
    </dxf>
    <dxf>
      <font>
        <color theme="0"/>
      </font>
      <fill>
        <patternFill>
          <bgColor rgb="FF019535"/>
        </patternFill>
      </fill>
      <border>
        <left style="thin">
          <color theme="0"/>
        </left>
        <right style="thin">
          <color theme="0"/>
        </right>
        <top style="thin">
          <color theme="0"/>
        </top>
        <bottom style="thin">
          <color theme="0"/>
        </bottom>
      </border>
    </dxf>
    <dxf>
      <font>
        <color theme="0"/>
      </font>
      <border>
        <left style="thin">
          <color theme="0"/>
        </left>
        <right style="thin">
          <color theme="0"/>
        </right>
        <top style="thin">
          <color theme="0"/>
        </top>
        <bottom style="thin">
          <color theme="0"/>
        </bottom>
        <vertical/>
        <horizontal/>
      </border>
    </dxf>
    <dxf>
      <font>
        <color theme="0"/>
      </font>
      <border>
        <left style="thin">
          <color theme="0"/>
        </left>
        <right style="thin">
          <color theme="0"/>
        </right>
        <top style="thin">
          <color theme="0"/>
        </top>
        <bottom style="thin">
          <color theme="0"/>
        </bottom>
        <vertical/>
        <horizontal/>
      </border>
    </dxf>
    <dxf>
      <font>
        <color theme="0"/>
      </font>
      <border>
        <left style="thin">
          <color theme="0"/>
        </left>
        <right style="thin">
          <color theme="0"/>
        </right>
        <top style="thin">
          <color theme="0"/>
        </top>
        <bottom style="thin">
          <color theme="0"/>
        </bottom>
        <vertical/>
        <horizontal/>
      </border>
    </dxf>
    <dxf>
      <font>
        <color theme="0"/>
      </font>
      <border>
        <left style="thin">
          <color theme="0"/>
        </left>
        <right style="thin">
          <color theme="0"/>
        </right>
        <top style="thin">
          <color theme="0"/>
        </top>
        <bottom style="thin">
          <color theme="0"/>
        </bottom>
        <vertical/>
        <horizontal/>
      </border>
    </dxf>
    <dxf>
      <fill>
        <patternFill>
          <bgColor rgb="FFC4D79B"/>
        </patternFill>
      </fill>
    </dxf>
    <dxf>
      <font>
        <b val="0"/>
        <i val="0"/>
        <color theme="0"/>
      </font>
      <fill>
        <patternFill patternType="solid">
          <fgColor indexed="64"/>
          <bgColor rgb="FFF4B084"/>
        </patternFill>
      </fill>
    </dxf>
    <dxf>
      <font>
        <b val="0"/>
        <i val="0"/>
        <color theme="0"/>
      </font>
      <fill>
        <patternFill patternType="solid">
          <fgColor indexed="64"/>
          <bgColor rgb="FF00B3C9"/>
        </patternFill>
      </fill>
    </dxf>
    <dxf>
      <font>
        <b val="0"/>
        <i val="0"/>
        <color theme="0"/>
      </font>
      <fill>
        <patternFill patternType="solid">
          <fgColor indexed="64"/>
          <bgColor rgb="FFFEC236"/>
        </patternFill>
      </fill>
    </dxf>
    <dxf>
      <font>
        <b val="0"/>
        <i val="0"/>
        <color theme="0"/>
      </font>
      <fill>
        <patternFill patternType="solid">
          <fgColor indexed="64"/>
          <bgColor rgb="FF00A439"/>
        </patternFill>
      </fill>
    </dxf>
    <dxf>
      <font>
        <color theme="0"/>
      </font>
      <fill>
        <patternFill patternType="solid">
          <fgColor indexed="64"/>
          <bgColor rgb="FFCECECE"/>
        </patternFill>
      </fill>
      <border>
        <left style="thin">
          <color theme="0"/>
        </left>
        <right style="thin">
          <color theme="0"/>
        </right>
        <top style="thin">
          <color theme="0"/>
        </top>
      </border>
    </dxf>
    <dxf>
      <font>
        <color theme="0"/>
      </font>
      <fill>
        <patternFill patternType="solid">
          <fgColor indexed="64"/>
          <bgColor rgb="FFCECECE"/>
        </patternFill>
      </fill>
      <border>
        <left style="thin">
          <color theme="0"/>
        </left>
        <right style="thin">
          <color theme="0"/>
        </right>
        <top style="thin">
          <color theme="0"/>
        </top>
        <bottom style="thin">
          <color theme="0"/>
        </bottom>
      </border>
    </dxf>
    <dxf>
      <fill>
        <patternFill>
          <bgColor theme="0" tint="-0.14996795556505021"/>
        </patternFill>
      </fill>
      <border>
        <left style="thin">
          <color theme="0"/>
        </left>
        <right style="thin">
          <color theme="0"/>
        </right>
      </border>
    </dxf>
    <dxf>
      <fill>
        <patternFill>
          <bgColor theme="0" tint="-0.14996795556505021"/>
        </patternFill>
      </fill>
      <border>
        <left style="thin">
          <color theme="0"/>
        </left>
        <right style="thin">
          <color theme="0"/>
        </right>
      </border>
    </dxf>
    <dxf>
      <fill>
        <patternFill>
          <bgColor theme="0" tint="-0.14996795556505021"/>
        </patternFill>
      </fill>
      <border>
        <left style="thin">
          <color theme="0"/>
        </left>
        <right style="thin">
          <color theme="0"/>
        </right>
        <top style="thin">
          <color theme="0"/>
        </top>
      </border>
    </dxf>
    <dxf>
      <fill>
        <patternFill>
          <bgColor theme="0" tint="-0.14996795556505021"/>
        </patternFill>
      </fill>
      <border>
        <left style="thin">
          <color theme="0"/>
        </left>
        <right style="thin">
          <color theme="0"/>
        </right>
        <top style="thin">
          <color theme="0"/>
        </top>
      </border>
    </dxf>
    <dxf>
      <fill>
        <patternFill>
          <bgColor theme="0" tint="-0.14996795556505021"/>
        </patternFill>
      </fill>
      <border>
        <left style="thin">
          <color theme="0"/>
        </left>
        <right style="thin">
          <color theme="0"/>
        </right>
        <top style="thin">
          <color theme="0"/>
        </top>
        <bottom style="thin">
          <color theme="0"/>
        </bottom>
      </border>
    </dxf>
    <dxf>
      <fill>
        <patternFill>
          <bgColor theme="0" tint="-0.14996795556505021"/>
        </patternFill>
      </fill>
      <border>
        <left style="thin">
          <color theme="0"/>
        </left>
        <right style="thin">
          <color theme="0"/>
        </right>
        <bottom style="thin">
          <color theme="0"/>
        </bottom>
      </border>
    </dxf>
    <dxf>
      <fill>
        <patternFill>
          <bgColor theme="0" tint="-0.14996795556505021"/>
        </patternFill>
      </fill>
      <border>
        <left style="thin">
          <color theme="0"/>
        </left>
        <right style="thin">
          <color theme="0"/>
        </right>
        <top style="thin">
          <color theme="0"/>
        </top>
      </border>
    </dxf>
    <dxf>
      <fill>
        <patternFill>
          <bgColor theme="0" tint="-0.14996795556505021"/>
        </patternFill>
      </fill>
      <border>
        <left style="thin">
          <color theme="0"/>
        </left>
        <right style="thin">
          <color theme="0"/>
        </right>
        <bottom style="thin">
          <color theme="0"/>
        </bottom>
      </border>
    </dxf>
    <dxf>
      <fill>
        <patternFill>
          <bgColor theme="0" tint="-0.14996795556505021"/>
        </patternFill>
      </fill>
      <border>
        <left style="thin">
          <color theme="0"/>
        </left>
        <right style="thin">
          <color theme="0"/>
        </right>
        <top style="thin">
          <color theme="0"/>
        </top>
      </border>
    </dxf>
    <dxf>
      <fill>
        <patternFill>
          <bgColor theme="0" tint="-0.14996795556505021"/>
        </patternFill>
      </fill>
      <border>
        <left style="thin">
          <color theme="0"/>
        </left>
        <right style="thin">
          <color theme="0"/>
        </right>
        <bottom style="thin">
          <color theme="0"/>
        </bottom>
      </border>
    </dxf>
    <dxf>
      <fill>
        <patternFill>
          <bgColor theme="0" tint="-0.14996795556505021"/>
        </patternFill>
      </fill>
      <border>
        <left style="thin">
          <color theme="0"/>
        </left>
        <right style="thin">
          <color theme="0"/>
        </right>
        <top style="thin">
          <color theme="0"/>
        </top>
      </border>
    </dxf>
    <dxf>
      <fill>
        <patternFill>
          <bgColor theme="0" tint="-0.14996795556505021"/>
        </patternFill>
      </fill>
      <border>
        <left style="thin">
          <color theme="0"/>
        </left>
        <right style="thin">
          <color theme="0"/>
        </right>
        <bottom style="thin">
          <color theme="0"/>
        </bottom>
      </border>
    </dxf>
    <dxf>
      <fill>
        <patternFill>
          <bgColor theme="0" tint="-0.14996795556505021"/>
        </patternFill>
      </fill>
      <border>
        <left style="thin">
          <color theme="0"/>
        </left>
        <right style="thin">
          <color theme="0"/>
        </right>
        <top style="thin">
          <color theme="0"/>
        </top>
      </border>
    </dxf>
    <dxf>
      <fill>
        <patternFill>
          <bgColor theme="0" tint="-0.14996795556505021"/>
        </patternFill>
      </fill>
      <border>
        <left style="thin">
          <color theme="0"/>
        </left>
        <right style="thin">
          <color theme="0"/>
        </right>
        <bottom style="thin">
          <color theme="0"/>
        </bottom>
      </border>
    </dxf>
    <dxf>
      <font>
        <color theme="0"/>
      </font>
      <fill>
        <patternFill>
          <bgColor theme="0" tint="-0.14996795556505021"/>
        </patternFill>
      </fill>
      <border>
        <left style="thin">
          <color theme="0"/>
        </left>
        <right style="thin">
          <color theme="0"/>
        </right>
      </border>
    </dxf>
    <dxf>
      <font>
        <color theme="0"/>
      </font>
      <fill>
        <patternFill>
          <bgColor theme="0" tint="-0.14996795556505021"/>
        </patternFill>
      </fill>
      <border>
        <left style="thin">
          <color theme="0"/>
        </left>
        <right style="thin">
          <color theme="0"/>
        </right>
      </border>
    </dxf>
    <dxf>
      <font>
        <color theme="0"/>
      </font>
      <fill>
        <patternFill>
          <bgColor theme="0" tint="-0.14996795556505021"/>
        </patternFill>
      </fill>
      <border>
        <left style="thin">
          <color theme="0"/>
        </left>
        <right style="thin">
          <color theme="0"/>
        </right>
        <top style="thin">
          <color theme="0"/>
        </top>
      </border>
    </dxf>
    <dxf>
      <font>
        <color theme="0"/>
      </font>
      <fill>
        <patternFill patternType="solid">
          <fgColor indexed="64"/>
          <bgColor rgb="FFCECECE"/>
        </patternFill>
      </fill>
      <border>
        <left style="thin">
          <color theme="0"/>
        </left>
        <right style="thin">
          <color theme="0"/>
        </right>
        <top style="thin">
          <color theme="0"/>
        </top>
      </border>
    </dxf>
    <dxf>
      <font>
        <color theme="0"/>
      </font>
      <fill>
        <patternFill patternType="solid">
          <fgColor indexed="64"/>
          <bgColor rgb="FFCECECE"/>
        </patternFill>
      </fill>
      <border>
        <left style="thin">
          <color theme="0"/>
        </left>
        <right style="thin">
          <color theme="0"/>
        </right>
        <top style="thin">
          <color theme="0"/>
        </top>
        <bottom style="thin">
          <color theme="0"/>
        </bottom>
      </border>
    </dxf>
    <dxf>
      <font>
        <color theme="0"/>
      </font>
      <fill>
        <patternFill patternType="solid">
          <fgColor indexed="64"/>
          <bgColor rgb="FFCECECE"/>
        </patternFill>
      </fill>
      <border>
        <left style="thin">
          <color theme="0"/>
        </left>
        <right style="thin">
          <color theme="0"/>
        </right>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3" formatCode="#,##0"/>
      <fill>
        <patternFill patternType="none">
          <fgColor indexed="64"/>
          <bgColor auto="1"/>
        </patternFill>
      </fill>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protection locked="1" hidden="1"/>
    </dxf>
    <dxf>
      <border outline="0">
        <top style="thin">
          <color auto="1"/>
        </top>
      </border>
    </dxf>
    <dxf>
      <border outline="0">
        <left style="thin">
          <color auto="1"/>
        </left>
        <right style="thin">
          <color auto="1"/>
        </right>
        <top style="thin">
          <color auto="1"/>
        </top>
        <bottom style="thin">
          <color auto="1"/>
        </bottom>
      </border>
    </dxf>
    <dxf>
      <font>
        <strike val="0"/>
        <outline val="0"/>
        <shadow val="0"/>
        <u val="none"/>
        <vertAlign val="baseline"/>
        <color theme="0"/>
        <name val="Calibri"/>
        <family val="2"/>
        <scheme val="minor"/>
      </font>
      <fill>
        <patternFill patternType="none">
          <fgColor indexed="64"/>
          <bgColor auto="1"/>
        </patternFill>
      </fill>
      <protection hidden="1"/>
    </dxf>
    <dxf>
      <border outline="0">
        <bottom style="thin">
          <color auto="1"/>
        </bottom>
      </border>
    </dxf>
    <dxf>
      <font>
        <strike val="0"/>
        <outline val="0"/>
        <shadow val="0"/>
        <u val="none"/>
        <vertAlign val="baseline"/>
        <sz val="11"/>
        <color theme="0"/>
        <name val="Calibri"/>
        <family val="2"/>
        <scheme val="minor"/>
      </font>
      <fill>
        <patternFill patternType="none">
          <fgColor indexed="64"/>
          <bgColor auto="1"/>
        </patternFill>
      </fill>
      <protection locked="1" hidden="1"/>
    </dxf>
  </dxfs>
  <tableStyles count="0" defaultTableStyle="TableStyleMedium9" defaultPivotStyle="PivotStyleLight16"/>
  <colors>
    <mruColors>
      <color rgb="FFC9C9C9"/>
      <color rgb="FFF2F2F2"/>
      <color rgb="FFEBF2DF"/>
      <color rgb="FFDBEEF3"/>
      <color rgb="FFFFAA5F"/>
      <color rgb="FF0056A3"/>
      <color rgb="FF74C04B"/>
      <color rgb="FF009535"/>
      <color rgb="FFFFBE55"/>
      <color rgb="FF4E80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22/10/relationships/richValueRel" Target="richData/richValueRel.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 Target="richData/rdrichvalue.xml"/></Relationships>
</file>

<file path=xl/drawings/_rels/drawing1.xml.rels><?xml version="1.0" encoding="UTF-8" standalone="yes"?>
<Relationships xmlns="http://schemas.openxmlformats.org/package/2006/relationships"><Relationship Id="rId8" Type="http://schemas.openxmlformats.org/officeDocument/2006/relationships/hyperlink" Target="https://youtu.be/SHBI9hk30ME" TargetMode="External"/><Relationship Id="rId3" Type="http://schemas.openxmlformats.org/officeDocument/2006/relationships/hyperlink" Target="https://www.linkedin.com/in/matejero" TargetMode="External"/><Relationship Id="rId7" Type="http://schemas.openxmlformats.org/officeDocument/2006/relationships/image" Target="../media/image11.jpeg"/><Relationship Id="rId2" Type="http://schemas.openxmlformats.org/officeDocument/2006/relationships/hyperlink" Target="#'COPA AMERICA'!K4"/><Relationship Id="rId1" Type="http://schemas.openxmlformats.org/officeDocument/2006/relationships/image" Target="../media/image9.png"/><Relationship Id="rId6" Type="http://schemas.openxmlformats.org/officeDocument/2006/relationships/hyperlink" Target="https://matejero.es/excel-porra-eurocopa/" TargetMode="External"/><Relationship Id="rId5" Type="http://schemas.openxmlformats.org/officeDocument/2006/relationships/image" Target="../media/image10.png"/><Relationship Id="rId4" Type="http://schemas.openxmlformats.org/officeDocument/2006/relationships/hyperlink" Target="https://www.paypal.com/donate?business=PJ2B6ZBH7ZHR4&amp;currency_code=EUR" TargetMode="External"/><Relationship Id="rId9" Type="http://schemas.openxmlformats.org/officeDocument/2006/relationships/image" Target="../media/image12.png"/></Relationships>
</file>

<file path=xl/drawings/_rels/drawing2.xml.rels><?xml version="1.0" encoding="UTF-8" standalone="yes"?>
<Relationships xmlns="http://schemas.openxmlformats.org/package/2006/relationships"><Relationship Id="rId3" Type="http://schemas.openxmlformats.org/officeDocument/2006/relationships/image" Target="../media/image13.gif"/><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60318</xdr:rowOff>
    </xdr:from>
    <xdr:to>
      <xdr:col>4</xdr:col>
      <xdr:colOff>0</xdr:colOff>
      <xdr:row>16</xdr:row>
      <xdr:rowOff>170860</xdr:rowOff>
    </xdr:to>
    <xdr:pic>
      <xdr:nvPicPr>
        <xdr:cNvPr id="10" name="Imagen 9">
          <a:extLst>
            <a:ext uri="{FF2B5EF4-FFF2-40B4-BE49-F238E27FC236}">
              <a16:creationId xmlns:a16="http://schemas.microsoft.com/office/drawing/2014/main" id="{70EF82DC-FCA9-8045-8B97-7382D9E4F899}"/>
            </a:ext>
          </a:extLst>
        </xdr:cNvPr>
        <xdr:cNvPicPr>
          <a:picLocks noChangeAspect="1" noChangeArrowheads="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0" y="250818"/>
          <a:ext cx="2857500" cy="38443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244474</xdr:colOff>
      <xdr:row>3</xdr:row>
      <xdr:rowOff>92076</xdr:rowOff>
    </xdr:from>
    <xdr:to>
      <xdr:col>7</xdr:col>
      <xdr:colOff>0</xdr:colOff>
      <xdr:row>4</xdr:row>
      <xdr:rowOff>393700</xdr:rowOff>
    </xdr:to>
    <xdr:sp macro="" textlink="Idiomas!D4">
      <xdr:nvSpPr>
        <xdr:cNvPr id="4" name="Rectángulo redondeado 5">
          <a:hlinkClick xmlns:r="http://schemas.openxmlformats.org/officeDocument/2006/relationships" r:id="rId2"/>
          <a:extLst>
            <a:ext uri="{FF2B5EF4-FFF2-40B4-BE49-F238E27FC236}">
              <a16:creationId xmlns:a16="http://schemas.microsoft.com/office/drawing/2014/main" id="{FF999FD2-9217-4020-8A98-38141898F163}"/>
            </a:ext>
          </a:extLst>
        </xdr:cNvPr>
        <xdr:cNvSpPr/>
      </xdr:nvSpPr>
      <xdr:spPr>
        <a:xfrm>
          <a:off x="3101974" y="663576"/>
          <a:ext cx="3324226" cy="492124"/>
        </a:xfrm>
        <a:prstGeom prst="roundRect">
          <a:avLst/>
        </a:prstGeom>
        <a:solidFill>
          <a:schemeClr val="accent6">
            <a:lumMod val="75000"/>
            <a:alpha val="60000"/>
          </a:schemeClr>
        </a:solidFill>
        <a:ln w="603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fld id="{13F3C7EA-2947-0844-A73C-092388BF2E79}" type="TxLink">
            <a:rPr lang="en-US" sz="1800" b="1" i="0" u="none" strike="noStrike">
              <a:solidFill>
                <a:schemeClr val="bg1"/>
              </a:solidFill>
              <a:effectLst/>
              <a:latin typeface="Calibri"/>
              <a:cs typeface="Calibri"/>
            </a:rPr>
            <a:pPr marL="0" marR="0" lvl="0" indent="0" algn="ctr" defTabSz="914400" eaLnBrk="1" fontAlgn="auto" latinLnBrk="0" hangingPunct="1">
              <a:lnSpc>
                <a:spcPct val="100000"/>
              </a:lnSpc>
              <a:spcBef>
                <a:spcPts val="0"/>
              </a:spcBef>
              <a:spcAft>
                <a:spcPts val="0"/>
              </a:spcAft>
              <a:buClrTx/>
              <a:buSzTx/>
              <a:buFontTx/>
              <a:buNone/>
              <a:tabLst/>
              <a:defRPr/>
            </a:pPr>
            <a:t>Introducir resultados</a:t>
          </a:fld>
          <a:endParaRPr lang="es-ES" sz="1800" b="1">
            <a:solidFill>
              <a:schemeClr val="bg1"/>
            </a:solidFill>
          </a:endParaRPr>
        </a:p>
      </xdr:txBody>
    </xdr:sp>
    <xdr:clientData/>
  </xdr:twoCellAnchor>
  <xdr:twoCellAnchor>
    <xdr:from>
      <xdr:col>4</xdr:col>
      <xdr:colOff>177800</xdr:colOff>
      <xdr:row>14</xdr:row>
      <xdr:rowOff>60326</xdr:rowOff>
    </xdr:from>
    <xdr:to>
      <xdr:col>7</xdr:col>
      <xdr:colOff>101600</xdr:colOff>
      <xdr:row>15</xdr:row>
      <xdr:rowOff>123826</xdr:rowOff>
    </xdr:to>
    <xdr:sp macro="" textlink="">
      <xdr:nvSpPr>
        <xdr:cNvPr id="3" name="Rectángulo redondeado 5">
          <a:hlinkClick xmlns:r="http://schemas.openxmlformats.org/officeDocument/2006/relationships" r:id="rId3"/>
          <a:extLst>
            <a:ext uri="{FF2B5EF4-FFF2-40B4-BE49-F238E27FC236}">
              <a16:creationId xmlns:a16="http://schemas.microsoft.com/office/drawing/2014/main" id="{9746FF3D-34A0-40EB-BFC1-8351B4DF8103}"/>
            </a:ext>
          </a:extLst>
        </xdr:cNvPr>
        <xdr:cNvSpPr/>
      </xdr:nvSpPr>
      <xdr:spPr>
        <a:xfrm>
          <a:off x="3035300" y="3489326"/>
          <a:ext cx="3517900" cy="368300"/>
        </a:xfrm>
        <a:prstGeom prst="roundRect">
          <a:avLst/>
        </a:prstGeom>
        <a:no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s-ES" sz="1100" b="1" baseline="0">
              <a:solidFill>
                <a:srgbClr val="FF0000"/>
              </a:solidFill>
            </a:rPr>
            <a:t>© </a:t>
          </a:r>
          <a:r>
            <a:rPr lang="es-ES" sz="1100" b="0" baseline="0">
              <a:solidFill>
                <a:srgbClr val="FF0000"/>
              </a:solidFill>
              <a:effectLst/>
              <a:latin typeface="+mn-lt"/>
              <a:ea typeface="+mn-ea"/>
              <a:cs typeface="+mn-cs"/>
            </a:rPr>
            <a:t>Miguel Angel Tejero. 2024</a:t>
          </a:r>
        </a:p>
      </xdr:txBody>
    </xdr:sp>
    <xdr:clientData/>
  </xdr:twoCellAnchor>
  <xdr:twoCellAnchor>
    <xdr:from>
      <xdr:col>0</xdr:col>
      <xdr:colOff>558800</xdr:colOff>
      <xdr:row>4</xdr:row>
      <xdr:rowOff>638176</xdr:rowOff>
    </xdr:from>
    <xdr:to>
      <xdr:col>2</xdr:col>
      <xdr:colOff>609600</xdr:colOff>
      <xdr:row>8</xdr:row>
      <xdr:rowOff>92076</xdr:rowOff>
    </xdr:to>
    <xdr:sp macro="" textlink="B7">
      <xdr:nvSpPr>
        <xdr:cNvPr id="9" name="Rectángulo redondeado 5">
          <a:extLst>
            <a:ext uri="{FF2B5EF4-FFF2-40B4-BE49-F238E27FC236}">
              <a16:creationId xmlns:a16="http://schemas.microsoft.com/office/drawing/2014/main" id="{F71B37F6-83F3-7D43-B66F-183C93F91B1E}"/>
            </a:ext>
          </a:extLst>
        </xdr:cNvPr>
        <xdr:cNvSpPr/>
      </xdr:nvSpPr>
      <xdr:spPr>
        <a:xfrm>
          <a:off x="558800" y="1400176"/>
          <a:ext cx="1701800" cy="9144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fld id="{E033F5EB-F96D-AF46-9F33-925FB77DB7FB}" type="TxLink">
            <a:rPr lang="en-US" sz="1800" b="1" i="0" u="none" strike="noStrike" baseline="0">
              <a:solidFill>
                <a:schemeClr val="tx1"/>
              </a:solidFill>
              <a:latin typeface="Calibri"/>
              <a:cs typeface="Calibri"/>
            </a:rPr>
            <a:pPr marL="0" marR="0" lvl="0" indent="0" algn="ctr" defTabSz="914400" eaLnBrk="1" fontAlgn="auto" latinLnBrk="0" hangingPunct="1">
              <a:lnSpc>
                <a:spcPct val="100000"/>
              </a:lnSpc>
              <a:spcBef>
                <a:spcPts val="0"/>
              </a:spcBef>
              <a:spcAft>
                <a:spcPts val="0"/>
              </a:spcAft>
              <a:buClrTx/>
              <a:buSzTx/>
              <a:buFontTx/>
              <a:buNone/>
              <a:tabLst/>
              <a:defRPr/>
            </a:pPr>
            <a:t>XLVIII Copa América 2024</a:t>
          </a:fld>
          <a:endParaRPr lang="es-ES" sz="2800" b="1">
            <a:solidFill>
              <a:schemeClr val="tx1"/>
            </a:solidFill>
          </a:endParaRPr>
        </a:p>
      </xdr:txBody>
    </xdr:sp>
    <xdr:clientData/>
  </xdr:twoCellAnchor>
  <xdr:twoCellAnchor>
    <xdr:from>
      <xdr:col>10</xdr:col>
      <xdr:colOff>317499</xdr:colOff>
      <xdr:row>1</xdr:row>
      <xdr:rowOff>139700</xdr:rowOff>
    </xdr:from>
    <xdr:to>
      <xdr:col>16</xdr:col>
      <xdr:colOff>306916</xdr:colOff>
      <xdr:row>15</xdr:row>
      <xdr:rowOff>88900</xdr:rowOff>
    </xdr:to>
    <xdr:sp macro="" textlink="">
      <xdr:nvSpPr>
        <xdr:cNvPr id="2" name="Marco 1">
          <a:extLst>
            <a:ext uri="{FF2B5EF4-FFF2-40B4-BE49-F238E27FC236}">
              <a16:creationId xmlns:a16="http://schemas.microsoft.com/office/drawing/2014/main" id="{EF3811A3-9FA5-6847-9777-8D342A0C7148}"/>
            </a:ext>
          </a:extLst>
        </xdr:cNvPr>
        <xdr:cNvSpPr/>
      </xdr:nvSpPr>
      <xdr:spPr>
        <a:xfrm>
          <a:off x="8773582" y="330200"/>
          <a:ext cx="4847167" cy="3494617"/>
        </a:xfrm>
        <a:prstGeom prst="frame">
          <a:avLst>
            <a:gd name="adj1" fmla="val 795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_tradnl" sz="1100">
            <a:solidFill>
              <a:schemeClr val="tx1"/>
            </a:solidFill>
          </a:endParaRPr>
        </a:p>
      </xdr:txBody>
    </xdr:sp>
    <xdr:clientData/>
  </xdr:twoCellAnchor>
  <xdr:twoCellAnchor editAs="oneCell">
    <xdr:from>
      <xdr:col>5</xdr:col>
      <xdr:colOff>2095500</xdr:colOff>
      <xdr:row>14</xdr:row>
      <xdr:rowOff>114300</xdr:rowOff>
    </xdr:from>
    <xdr:to>
      <xdr:col>6</xdr:col>
      <xdr:colOff>1127522</xdr:colOff>
      <xdr:row>15</xdr:row>
      <xdr:rowOff>101600</xdr:rowOff>
    </xdr:to>
    <xdr:pic>
      <xdr:nvPicPr>
        <xdr:cNvPr id="5" name="Imagen 4">
          <a:hlinkClick xmlns:r="http://schemas.openxmlformats.org/officeDocument/2006/relationships" r:id="rId4"/>
          <a:extLst>
            <a:ext uri="{FF2B5EF4-FFF2-40B4-BE49-F238E27FC236}">
              <a16:creationId xmlns:a16="http://schemas.microsoft.com/office/drawing/2014/main" id="{05846929-CC37-324A-BE3E-BA82956F2697}"/>
            </a:ext>
          </a:extLst>
        </xdr:cNvPr>
        <xdr:cNvPicPr>
          <a:picLocks noChangeAspect="1"/>
        </xdr:cNvPicPr>
      </xdr:nvPicPr>
      <xdr:blipFill rotWithShape="1">
        <a:blip xmlns:r="http://schemas.openxmlformats.org/officeDocument/2006/relationships" r:embed="rId5" cstate="email">
          <a:extLst>
            <a:ext uri="{28A0092B-C50C-407E-A947-70E740481C1C}">
              <a14:useLocalDpi xmlns:a14="http://schemas.microsoft.com/office/drawing/2010/main"/>
            </a:ext>
          </a:extLst>
        </a:blip>
        <a:srcRect/>
        <a:stretch/>
      </xdr:blipFill>
      <xdr:spPr>
        <a:xfrm>
          <a:off x="5219700" y="3543300"/>
          <a:ext cx="1229122" cy="292100"/>
        </a:xfrm>
        <a:prstGeom prst="rect">
          <a:avLst/>
        </a:prstGeom>
      </xdr:spPr>
    </xdr:pic>
    <xdr:clientData/>
  </xdr:twoCellAnchor>
  <xdr:twoCellAnchor>
    <xdr:from>
      <xdr:col>4</xdr:col>
      <xdr:colOff>254000</xdr:colOff>
      <xdr:row>8</xdr:row>
      <xdr:rowOff>177800</xdr:rowOff>
    </xdr:from>
    <xdr:to>
      <xdr:col>7</xdr:col>
      <xdr:colOff>0</xdr:colOff>
      <xdr:row>12</xdr:row>
      <xdr:rowOff>12700</xdr:rowOff>
    </xdr:to>
    <xdr:sp macro="" textlink="">
      <xdr:nvSpPr>
        <xdr:cNvPr id="6" name="Rectángulo redondeado 5">
          <a:extLst>
            <a:ext uri="{FF2B5EF4-FFF2-40B4-BE49-F238E27FC236}">
              <a16:creationId xmlns:a16="http://schemas.microsoft.com/office/drawing/2014/main" id="{0C8A9C76-A756-7F42-B2CA-597DDBD86159}"/>
            </a:ext>
          </a:extLst>
        </xdr:cNvPr>
        <xdr:cNvSpPr/>
      </xdr:nvSpPr>
      <xdr:spPr>
        <a:xfrm>
          <a:off x="3111500" y="2400300"/>
          <a:ext cx="3314700" cy="673100"/>
        </a:xfrm>
        <a:prstGeom prst="roundRect">
          <a:avLst/>
        </a:prstGeom>
        <a:noFill/>
        <a:ln w="60325">
          <a:solidFill>
            <a:srgbClr val="5080BD"/>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lang="en-US" sz="1600" b="1" i="0" u="none" strike="noStrike">
            <a:solidFill>
              <a:schemeClr val="bg1"/>
            </a:solidFill>
            <a:latin typeface="Calibri"/>
            <a:cs typeface="Calibri"/>
          </a:endParaRPr>
        </a:p>
      </xdr:txBody>
    </xdr:sp>
    <xdr:clientData/>
  </xdr:twoCellAnchor>
  <xdr:twoCellAnchor editAs="oneCell">
    <xdr:from>
      <xdr:col>12</xdr:col>
      <xdr:colOff>787400</xdr:colOff>
      <xdr:row>15</xdr:row>
      <xdr:rowOff>152400</xdr:rowOff>
    </xdr:from>
    <xdr:to>
      <xdr:col>14</xdr:col>
      <xdr:colOff>8374</xdr:colOff>
      <xdr:row>20</xdr:row>
      <xdr:rowOff>165100</xdr:rowOff>
    </xdr:to>
    <xdr:pic>
      <xdr:nvPicPr>
        <xdr:cNvPr id="8" name="Imagen 7">
          <a:hlinkClick xmlns:r="http://schemas.openxmlformats.org/officeDocument/2006/relationships" r:id="rId6"/>
          <a:extLst>
            <a:ext uri="{FF2B5EF4-FFF2-40B4-BE49-F238E27FC236}">
              <a16:creationId xmlns:a16="http://schemas.microsoft.com/office/drawing/2014/main" id="{1A8531D2-40A3-2447-00EB-88F22BDC86DD}"/>
            </a:ext>
          </a:extLst>
        </xdr:cNvPr>
        <xdr:cNvPicPr>
          <a:picLocks noChangeAspect="1"/>
        </xdr:cNvPicPr>
      </xdr:nvPicPr>
      <xdr:blipFill rotWithShape="1">
        <a:blip xmlns:r="http://schemas.openxmlformats.org/officeDocument/2006/relationships" r:embed="rId7" cstate="email">
          <a:extLst>
            <a:ext uri="{28A0092B-C50C-407E-A947-70E740481C1C}">
              <a14:useLocalDpi xmlns:a14="http://schemas.microsoft.com/office/drawing/2010/main"/>
            </a:ext>
          </a:extLst>
        </a:blip>
        <a:srcRect/>
        <a:stretch/>
      </xdr:blipFill>
      <xdr:spPr>
        <a:xfrm>
          <a:off x="10172700" y="3886200"/>
          <a:ext cx="871974" cy="1117600"/>
        </a:xfrm>
        <a:prstGeom prst="rect">
          <a:avLst/>
        </a:prstGeom>
      </xdr:spPr>
    </xdr:pic>
    <xdr:clientData/>
  </xdr:twoCellAnchor>
  <xdr:twoCellAnchor editAs="oneCell">
    <xdr:from>
      <xdr:col>12</xdr:col>
      <xdr:colOff>203200</xdr:colOff>
      <xdr:row>8</xdr:row>
      <xdr:rowOff>78594</xdr:rowOff>
    </xdr:from>
    <xdr:to>
      <xdr:col>14</xdr:col>
      <xdr:colOff>800100</xdr:colOff>
      <xdr:row>14</xdr:row>
      <xdr:rowOff>66703</xdr:rowOff>
    </xdr:to>
    <xdr:pic>
      <xdr:nvPicPr>
        <xdr:cNvPr id="7" name="Imagen 6">
          <a:hlinkClick xmlns:r="http://schemas.openxmlformats.org/officeDocument/2006/relationships" r:id="rId8"/>
          <a:extLst>
            <a:ext uri="{FF2B5EF4-FFF2-40B4-BE49-F238E27FC236}">
              <a16:creationId xmlns:a16="http://schemas.microsoft.com/office/drawing/2014/main" id="{6AD32579-AC9B-E746-B1F5-60FACDFD2259}"/>
            </a:ext>
          </a:extLst>
        </xdr:cNvPr>
        <xdr:cNvPicPr>
          <a:picLocks noChangeAspect="1"/>
        </xdr:cNvPicPr>
      </xdr:nvPicPr>
      <xdr:blipFill>
        <a:blip xmlns:r="http://schemas.openxmlformats.org/officeDocument/2006/relationships" r:embed="rId9" cstate="email">
          <a:extLst>
            <a:ext uri="{28A0092B-C50C-407E-A947-70E740481C1C}">
              <a14:useLocalDpi xmlns:a14="http://schemas.microsoft.com/office/drawing/2010/main"/>
            </a:ext>
          </a:extLst>
        </a:blip>
        <a:stretch>
          <a:fillRect/>
        </a:stretch>
      </xdr:blipFill>
      <xdr:spPr>
        <a:xfrm>
          <a:off x="9588500" y="2301094"/>
          <a:ext cx="2247900" cy="1194609"/>
        </a:xfrm>
        <a:prstGeom prst="rect">
          <a:avLst/>
        </a:prstGeom>
      </xdr:spPr>
    </xdr:pic>
    <xdr:clientData/>
  </xdr:twoCellAnchor>
  <xdr:twoCellAnchor>
    <xdr:from>
      <xdr:col>12</xdr:col>
      <xdr:colOff>241299</xdr:colOff>
      <xdr:row>8</xdr:row>
      <xdr:rowOff>76200</xdr:rowOff>
    </xdr:from>
    <xdr:to>
      <xdr:col>14</xdr:col>
      <xdr:colOff>819150</xdr:colOff>
      <xdr:row>10</xdr:row>
      <xdr:rowOff>114338</xdr:rowOff>
    </xdr:to>
    <xdr:sp macro="" textlink="">
      <xdr:nvSpPr>
        <xdr:cNvPr id="11" name="Rectángulo redondeado 5">
          <a:hlinkClick xmlns:r="http://schemas.openxmlformats.org/officeDocument/2006/relationships" r:id="rId8"/>
          <a:extLst>
            <a:ext uri="{FF2B5EF4-FFF2-40B4-BE49-F238E27FC236}">
              <a16:creationId xmlns:a16="http://schemas.microsoft.com/office/drawing/2014/main" id="{26D538AB-B234-B24A-8326-B21907357455}"/>
            </a:ext>
          </a:extLst>
        </xdr:cNvPr>
        <xdr:cNvSpPr/>
      </xdr:nvSpPr>
      <xdr:spPr>
        <a:xfrm>
          <a:off x="9626599" y="2298700"/>
          <a:ext cx="2228851" cy="419138"/>
        </a:xfrm>
        <a:prstGeom prst="roundRect">
          <a:avLst/>
        </a:prstGeom>
        <a:solidFill>
          <a:srgbClr val="04113A"/>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fld id="{BE7B0D27-72FF-494D-B804-956A829FA5CF}" type="TxLink">
            <a:rPr lang="en-US" sz="1600" b="1" i="0" u="none" strike="noStrike">
              <a:solidFill>
                <a:schemeClr val="bg1"/>
              </a:solidFill>
              <a:latin typeface="Calibri"/>
              <a:cs typeface="Calibri"/>
            </a:rPr>
            <a:pPr marL="0" marR="0" lvl="0" indent="0" algn="ctr" defTabSz="914400" eaLnBrk="1" fontAlgn="auto" latinLnBrk="0" hangingPunct="1">
              <a:lnSpc>
                <a:spcPct val="100000"/>
              </a:lnSpc>
              <a:spcBef>
                <a:spcPts val="0"/>
              </a:spcBef>
              <a:spcAft>
                <a:spcPts val="0"/>
              </a:spcAft>
              <a:buClrTx/>
              <a:buSzTx/>
              <a:buFontTx/>
              <a:buNone/>
              <a:tabLst/>
              <a:defRPr/>
            </a:pPr>
            <a:t>Video Instrucciones</a:t>
          </a:fld>
          <a:endParaRPr lang="es-ES" sz="2000" b="1">
            <a:solidFill>
              <a:schemeClr val="bg1"/>
            </a:solidFill>
          </a:endParaRPr>
        </a:p>
      </xdr:txBody>
    </xdr:sp>
    <xdr:clientData fLocksWithSheet="0"/>
  </xdr:twoCellAnchor>
</xdr:wsDr>
</file>

<file path=xl/drawings/drawing2.xml><?xml version="1.0" encoding="utf-8"?>
<xdr:wsDr xmlns:xdr="http://schemas.openxmlformats.org/drawingml/2006/spreadsheetDrawing" xmlns:a="http://schemas.openxmlformats.org/drawingml/2006/main">
  <xdr:twoCellAnchor>
    <xdr:from>
      <xdr:col>16</xdr:col>
      <xdr:colOff>30211</xdr:colOff>
      <xdr:row>62</xdr:row>
      <xdr:rowOff>0</xdr:rowOff>
    </xdr:from>
    <xdr:to>
      <xdr:col>26</xdr:col>
      <xdr:colOff>133350</xdr:colOff>
      <xdr:row>63</xdr:row>
      <xdr:rowOff>192809</xdr:rowOff>
    </xdr:to>
    <xdr:sp macro="" textlink="">
      <xdr:nvSpPr>
        <xdr:cNvPr id="2" name="Rectángulo: esquinas redondeadas 140">
          <a:hlinkClick xmlns:r="http://schemas.openxmlformats.org/officeDocument/2006/relationships" r:id="rId1"/>
          <a:extLst>
            <a:ext uri="{FF2B5EF4-FFF2-40B4-BE49-F238E27FC236}">
              <a16:creationId xmlns:a16="http://schemas.microsoft.com/office/drawing/2014/main" id="{E1D8921A-FCE5-424D-AB71-50B933CB7515}"/>
            </a:ext>
          </a:extLst>
        </xdr:cNvPr>
        <xdr:cNvSpPr/>
      </xdr:nvSpPr>
      <xdr:spPr>
        <a:xfrm>
          <a:off x="9796511" y="12839700"/>
          <a:ext cx="4383039" cy="408709"/>
        </a:xfrm>
        <a:prstGeom prst="round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1100">
              <a:solidFill>
                <a:schemeClr val="bg1"/>
              </a:solidFill>
            </a:rPr>
            <a:t>Autor: Miguel Angel Tejero</a:t>
          </a:r>
        </a:p>
      </xdr:txBody>
    </xdr:sp>
    <xdr:clientData/>
  </xdr:twoCellAnchor>
  <xdr:twoCellAnchor editAs="oneCell">
    <xdr:from>
      <xdr:col>22</xdr:col>
      <xdr:colOff>152400</xdr:colOff>
      <xdr:row>62</xdr:row>
      <xdr:rowOff>85725</xdr:rowOff>
    </xdr:from>
    <xdr:to>
      <xdr:col>26</xdr:col>
      <xdr:colOff>57150</xdr:colOff>
      <xdr:row>63</xdr:row>
      <xdr:rowOff>120650</xdr:rowOff>
    </xdr:to>
    <xdr:pic>
      <xdr:nvPicPr>
        <xdr:cNvPr id="16" name="Imagen 15" descr="https://www.paypalobjects.com/es_ES/ES/i/btn/btn_donate_LG.gif">
          <a:hlinkClick xmlns:r="http://schemas.openxmlformats.org/officeDocument/2006/relationships" r:id="rId2"/>
          <a:extLst>
            <a:ext uri="{FF2B5EF4-FFF2-40B4-BE49-F238E27FC236}">
              <a16:creationId xmlns:a16="http://schemas.microsoft.com/office/drawing/2014/main" id="{363D5CC9-F6A5-47E3-BAE7-D669AEC2A18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a:ext>
          </a:extLst>
        </a:blip>
        <a:srcRect/>
        <a:stretch>
          <a:fillRect/>
        </a:stretch>
      </xdr:blipFill>
      <xdr:spPr bwMode="auto">
        <a:xfrm>
          <a:off x="8458200" y="12430125"/>
          <a:ext cx="876300" cy="2476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17</xdr:col>
      <xdr:colOff>698500</xdr:colOff>
      <xdr:row>62</xdr:row>
      <xdr:rowOff>88900</xdr:rowOff>
    </xdr:from>
    <xdr:to>
      <xdr:col>17</xdr:col>
      <xdr:colOff>977900</xdr:colOff>
      <xdr:row>63</xdr:row>
      <xdr:rowOff>152400</xdr:rowOff>
    </xdr:to>
    <xdr:pic>
      <xdr:nvPicPr>
        <xdr:cNvPr id="3" name="Imagen 2">
          <a:extLst>
            <a:ext uri="{FF2B5EF4-FFF2-40B4-BE49-F238E27FC236}">
              <a16:creationId xmlns:a16="http://schemas.microsoft.com/office/drawing/2014/main" id="{92D333BC-E401-0E49-87DE-7EF34376EA5B}"/>
            </a:ext>
          </a:extLst>
        </xdr:cNvPr>
        <xdr:cNvPicPr>
          <a:picLocks noChangeAspect="1"/>
        </xdr:cNvPicPr>
      </xdr:nvPicPr>
      <xdr:blipFill>
        <a:blip xmlns:r="http://schemas.openxmlformats.org/officeDocument/2006/relationships" r:embed="rId4" cstate="email">
          <a:extLst>
            <a:ext uri="{28A0092B-C50C-407E-A947-70E740481C1C}">
              <a14:useLocalDpi xmlns:a14="http://schemas.microsoft.com/office/drawing/2010/main"/>
            </a:ext>
          </a:extLst>
        </a:blip>
        <a:stretch>
          <a:fillRect/>
        </a:stretch>
      </xdr:blipFill>
      <xdr:spPr>
        <a:xfrm>
          <a:off x="10795000" y="12928600"/>
          <a:ext cx="279400" cy="279400"/>
        </a:xfrm>
        <a:prstGeom prst="rect">
          <a:avLst/>
        </a:prstGeom>
      </xdr:spPr>
    </xdr:pic>
    <xdr:clientData/>
  </xdr:twoCellAnchor>
</xdr:wsDr>
</file>

<file path=xl/richData/_rels/richValueRel.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2">
  <rv s="0">
    <v>0</v>
    <v>4</v>
  </rv>
  <rv s="0">
    <v>1</v>
    <v>4</v>
  </rv>
  <rv s="0">
    <v>2</v>
    <v>4</v>
  </rv>
  <rv s="0">
    <v>3</v>
    <v>4</v>
  </rv>
  <rv s="1">
    <v>4</v>
    <v>5</v>
    <v>Balón de fútbol con relleno sólido</v>
  </rv>
  <rv s="1">
    <v>5</v>
    <v>5</v>
    <v>Medalla con relleno sólido</v>
  </rv>
  <rv s="1">
    <v>6</v>
    <v>5</v>
    <v>Mano levantada con relleno sólido</v>
  </rv>
  <rv s="0">
    <v>0</v>
    <v>5</v>
  </rv>
  <rv s="0">
    <v>1</v>
    <v>5</v>
  </rv>
  <rv s="0">
    <v>2</v>
    <v>5</v>
  </rv>
  <rv s="0">
    <v>3</v>
    <v>5</v>
  </rv>
  <rv s="1">
    <v>7</v>
    <v>5</v>
    <v>Marca de insignia1 con relleno sólido</v>
  </rv>
</rvData>
</file>

<file path=xl/richData/rdrichvaluestructure.xml><?xml version="1.0" encoding="utf-8"?>
<rvStructures xmlns="http://schemas.microsoft.com/office/spreadsheetml/2017/richdata" count="2">
  <s t="_localImage">
    <k n="_rvRel:LocalImageIdentifier" t="i"/>
    <k n="CalcOrigin"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2" displayName="Tabla2" ref="AV2:AW10" totalsRowShown="0" headerRowDxfId="55" dataDxfId="53" headerRowBorderDxfId="54" tableBorderDxfId="52" totalsRowBorderDxfId="51">
  <tableColumns count="2">
    <tableColumn id="1" xr3:uid="{00000000-0010-0000-0000-000001000000}" name="TOPIC" dataDxfId="50"/>
    <tableColumn id="2" xr3:uid="{00000000-0010-0000-0000-000002000000}" name="VALUE" dataDxfId="49"/>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abla3" displayName="Tabla3" ref="A1:D17" totalsRowShown="0" headerRowDxfId="48" dataDxfId="47">
  <sortState xmlns:xlrd2="http://schemas.microsoft.com/office/spreadsheetml/2017/richdata2" ref="A2:D13">
    <sortCondition ref="D2:D13"/>
  </sortState>
  <tableColumns count="4">
    <tableColumn id="1" xr3:uid="{00000000-0010-0000-0B00-000001000000}" name="OK" dataDxfId="46">
      <calculatedColumnFormula>NOT(ISERROR(VLOOKUP(Equipos!$B2,#REF!,1,FALSE)))</calculatedColumnFormula>
    </tableColumn>
    <tableColumn id="2" xr3:uid="{00000000-0010-0000-0B00-000002000000}" name="NombreEquipo" dataDxfId="45">
      <calculatedColumnFormula>VLOOKUP(Tabla3[[#This Row],[OK]],$G$2:$H$25,2,0)</calculatedColumnFormula>
    </tableColumn>
    <tableColumn id="4" xr3:uid="{00000000-0010-0000-0B00-000004000000}" name="Grupo" dataDxfId="44"/>
    <tableColumn id="3" xr3:uid="{00000000-0010-0000-0B00-000003000000}" name="Rank" dataDxfId="43"/>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9D367FA7-0D5F-CA4A-8B31-7B96B2A15525}">
  <we:reference id="wa200005502" version="1.0.0.11" store="es-ES" storeType="OMEX"/>
  <we:alternateReferences>
    <we:reference id="wa200005502" version="1.0.0.11" store="" storeType="OMEX"/>
  </we:alternateReferences>
  <we:properties>
    <we:property name="docId" value="&quot;ifELIlzIzvvVx_ujC6zjL&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_xldudf_GPT</we:customFunctionIds>
        <we:customFunctionIds>_xldudf_GPT_LIST</we:customFunctionIds>
        <we:customFunctionIds>_xldudf_GPT_HLIST</we:customFunctionIds>
        <we:customFunctionIds>_xldudf_GPT_CLASSIFY</we:customFunctionIds>
        <we:customFunctionIds>_xldudf_GPT_TRANSLATE</we:customFunctionIds>
        <we:customFunctionIds>_xldudf_GPT_EXTRACT</we:customFunctionIds>
        <we:customFunctionIds>_xldudf_GPT_TAG</we:customFunctionIds>
        <we:customFunctionIds>_xldudf_GPT_CONVERT</we:customFunctionIds>
        <we:customFunctionIds>_xldudf_GPT_FORMAT</we:customFunctionIds>
        <we:customFunctionIds>_xldudf_GPT_SUMMARIZE</we:customFunctionIds>
        <we:customFunctionIds>_xldudf_GPT_TABLE</we:customFunctionIds>
        <we:customFunctionIds>_xldudf_GPT_FILL</we:customFunctionIds>
        <we:customFunctionIds>_xldudf_GPT_SPLIT</we:customFunctionIds>
        <we:customFunctionIds>_xldudf_GPT_HSPLIT</we:customFunctionIds>
        <we:customFunctionIds>_xldudf_GPT_EDIT</we:customFunctionIds>
        <we:customFunctionIds>_xldudf_GPT_MATCH</we:customFunctionIds>
        <we:customFunctionIds>_xldudf_GPT_VISION</we:customFunctionIds>
        <we:customFunctionIds>_xldudf_GPT_WEB</we:customFunctionIds>
      </we:customFunctionIdList>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asian-cup-excel-schedul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excel-copa-libertadores/" TargetMode="External"/><Relationship Id="rId2" Type="http://schemas.openxmlformats.org/officeDocument/2006/relationships/hyperlink" Target="https://matejero.es/excel-porra-eurocopa/" TargetMode="External"/><Relationship Id="rId1" Type="http://schemas.openxmlformats.org/officeDocument/2006/relationships/hyperlink" Target="https://www.linkedin.com/in/matejero" TargetMode="External"/><Relationship Id="rId6" Type="http://schemas.openxmlformats.org/officeDocument/2006/relationships/hyperlink" Target="https://matejero.es/cuadro-excel-futbol-juegos-olimpicos/" TargetMode="External"/><Relationship Id="rId5" Type="http://schemas.openxmlformats.org/officeDocument/2006/relationships/hyperlink" Target="https://matejero.com/premier-league-excel-schedule/" TargetMode="External"/><Relationship Id="rId10" Type="http://schemas.openxmlformats.org/officeDocument/2006/relationships/hyperlink" Target="https://matejero.com/euro-excel-spreadsheet-pool/" TargetMode="External"/><Relationship Id="rId4" Type="http://schemas.openxmlformats.org/officeDocument/2006/relationships/hyperlink" Target="https://matejero.es/calendario-excel-liga/" TargetMode="External"/><Relationship Id="rId9" Type="http://schemas.openxmlformats.org/officeDocument/2006/relationships/hyperlink" Target="https://matejero.com/africa-cup-excel-schedul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1:AGV62"/>
  <sheetViews>
    <sheetView showGridLines="0" showRowColHeaders="0" zoomScale="130" zoomScaleNormal="130" workbookViewId="0">
      <selection activeCell="G7" sqref="G7"/>
    </sheetView>
  </sheetViews>
  <sheetFormatPr defaultColWidth="10.77734375" defaultRowHeight="14.4" zeroHeight="1" x14ac:dyDescent="0.3"/>
  <cols>
    <col min="1" max="3" width="10.77734375" style="319" customWidth="1"/>
    <col min="4" max="4" width="5" style="319" customWidth="1"/>
    <col min="5" max="5" width="3.44140625" style="319" customWidth="1"/>
    <col min="6" max="6" width="28.77734375" style="319" customWidth="1"/>
    <col min="7" max="7" width="14.77734375" style="319" customWidth="1"/>
    <col min="8" max="8" width="9" style="319" customWidth="1"/>
    <col min="9" max="10" width="8.6640625" style="319" customWidth="1"/>
    <col min="11" max="11" width="8.109375" style="319" customWidth="1"/>
    <col min="12" max="15" width="10.77734375" style="319" customWidth="1"/>
    <col min="16" max="16" width="12.109375" style="319" customWidth="1"/>
    <col min="17" max="17" width="6.109375" style="319" customWidth="1"/>
    <col min="18" max="16380" width="10.77734375" style="319" customWidth="1"/>
    <col min="16381" max="16384" width="10.77734375" style="319"/>
  </cols>
  <sheetData>
    <row r="1" spans="2:22" x14ac:dyDescent="0.3"/>
    <row r="2" spans="2:22" x14ac:dyDescent="0.3"/>
    <row r="3" spans="2:22" x14ac:dyDescent="0.3"/>
    <row r="4" spans="2:22" ht="15" customHeight="1" x14ac:dyDescent="0.3">
      <c r="L4" s="320"/>
      <c r="P4" s="7"/>
    </row>
    <row r="5" spans="2:22" ht="58.05" customHeight="1" thickBot="1" x14ac:dyDescent="0.4">
      <c r="L5" s="321" t="str">
        <f>Idiomas!D5</f>
        <v>Si quieres organizar una quiniela con tu grupo puedes descargar el archivo para administrarla desde el enlace de abajo</v>
      </c>
      <c r="M5" s="322"/>
      <c r="N5" s="322"/>
      <c r="O5" s="322"/>
      <c r="P5" s="322"/>
      <c r="S5" s="323"/>
    </row>
    <row r="6" spans="2:22" ht="15" customHeight="1" thickBot="1" x14ac:dyDescent="0.4">
      <c r="L6" s="324"/>
      <c r="M6" s="325"/>
      <c r="N6" s="325"/>
      <c r="O6" s="325"/>
      <c r="P6" s="326"/>
      <c r="S6" s="323" t="str">
        <f>"https://wa.me/"&amp;"?text="&amp;Idiomas!D160&amp;" "&amp;CHAR(10)&amp;Idiomas!D161</f>
        <v>https://wa.me/?text=Te envío el Excel de la Copa América 2024 para descargarlo.  
https://matejero.es/download/excel-copa-america-2024/?ref=share</v>
      </c>
    </row>
    <row r="7" spans="2:22" ht="27" customHeight="1" thickBot="1" x14ac:dyDescent="0.35">
      <c r="B7" s="323" t="str">
        <f>Idiomas!D7</f>
        <v>XLVIII Copa América 2024</v>
      </c>
      <c r="F7" s="327" t="str">
        <f>Idiomas!D6</f>
        <v>Selecciona idioma: -&gt;</v>
      </c>
      <c r="G7" s="286" t="s">
        <v>250</v>
      </c>
      <c r="L7" s="615" t="str">
        <f>HYPERLINK(Idiomas!D9,Idiomas!D8)</f>
        <v>Descargar Excel Administrador Quiniela</v>
      </c>
      <c r="M7" s="616"/>
      <c r="N7" s="616"/>
      <c r="O7" s="616"/>
      <c r="P7" s="617"/>
      <c r="S7" s="328" t="str">
        <f>"https://t.me/share/url?url="&amp;Idiomas!$D$161&amp;"&amp;text="&amp;Idiomas!$D$160</f>
        <v xml:space="preserve">https://t.me/share/url?url=https://matejero.es/download/excel-copa-america-2024/?ref=share&amp;text=Te envío el Excel de la Copa América 2024 para descargarlo. </v>
      </c>
    </row>
    <row r="8" spans="2:22" ht="15" customHeight="1" thickBot="1" x14ac:dyDescent="0.35">
      <c r="L8" s="329"/>
      <c r="M8" s="330"/>
      <c r="N8" s="330"/>
      <c r="O8" s="330"/>
      <c r="P8" s="331"/>
      <c r="S8" s="323" t="str">
        <f>"mailto:?&amp;subject=Excel Copa América 2024"&amp;"&amp;body="&amp;Idiomas!$D$160&amp;CHAR(10)&amp;Idiomas!D161</f>
        <v>mailto:?&amp;subject=Excel Copa América 2024&amp;body=Te envío el Excel de la Copa América 2024 para descargarlo. 
https://matejero.es/download/excel-copa-america-2024/?ref=share</v>
      </c>
    </row>
    <row r="9" spans="2:22" x14ac:dyDescent="0.3">
      <c r="L9" s="332"/>
      <c r="S9" s="323" t="str">
        <f>"https://twitter.com/intent/tweet?url="&amp;Idiomas!D161&amp;"&amp;text="&amp;Idiomas!D163&amp;"&amp;via=matejero"</f>
        <v>https://twitter.com/intent/tweet?url=https://matejero.es/download/excel-copa-america-2024/?ref=share&amp;text=Me acabo de descargar el Excel de la Copa América 2024&amp;via=matejero</v>
      </c>
    </row>
    <row r="10" spans="2:22" x14ac:dyDescent="0.3">
      <c r="F10" s="333"/>
      <c r="G10" s="333"/>
      <c r="R10" s="334"/>
    </row>
    <row r="11" spans="2:22" ht="19.8" x14ac:dyDescent="0.3">
      <c r="F11" s="287" t="str">
        <f>HYPERLINK(Idiomas!D9,Idiomas!D8)</f>
        <v>Descargar Excel Administrador Quiniela</v>
      </c>
      <c r="G11" s="335"/>
      <c r="L11" s="323"/>
    </row>
    <row r="12" spans="2:22" x14ac:dyDescent="0.3">
      <c r="F12" s="333"/>
      <c r="G12" s="333"/>
      <c r="L12" s="323"/>
      <c r="R12" s="7"/>
    </row>
    <row r="13" spans="2:22" x14ac:dyDescent="0.3">
      <c r="L13" s="336"/>
    </row>
    <row r="14" spans="2:22" x14ac:dyDescent="0.3">
      <c r="L14" s="332"/>
    </row>
    <row r="15" spans="2:22" ht="23.4" x14ac:dyDescent="0.45">
      <c r="S15" s="614"/>
      <c r="T15" s="614"/>
      <c r="U15" s="614"/>
      <c r="V15" s="614"/>
    </row>
    <row r="16" spans="2:22" x14ac:dyDescent="0.3"/>
    <row r="17" spans="6:14" x14ac:dyDescent="0.3">
      <c r="H17" s="4"/>
      <c r="I17" s="4"/>
      <c r="J17" s="4"/>
    </row>
    <row r="18" spans="6:14" x14ac:dyDescent="0.3"/>
    <row r="19" spans="6:14" x14ac:dyDescent="0.3">
      <c r="F19" s="337"/>
      <c r="H19" s="319" t="str">
        <f>IF(ISERROR(H20),"Whatsapp","")</f>
        <v/>
      </c>
      <c r="I19" s="319" t="str">
        <f>IF(ISERROR(I20),"Telegram","")</f>
        <v/>
      </c>
      <c r="J19" s="319" t="str">
        <f>IF(ISERROR(J20),"Mail","")</f>
        <v/>
      </c>
      <c r="K19" s="319" t="str">
        <f>IF(ISERROR(K20),"Twitter","")</f>
        <v/>
      </c>
    </row>
    <row r="20" spans="6:14" ht="27" customHeight="1" x14ac:dyDescent="0.3">
      <c r="G20" s="310" t="str">
        <f>Idiomas!D162</f>
        <v>Compartir:</v>
      </c>
      <c r="H20" s="8" t="e" vm="1">
        <f>HYPERLINK(Home!S6,Idiomas!C160)</f>
        <v>#VALUE!</v>
      </c>
      <c r="I20" s="8" t="e" vm="2">
        <f>HYPERLINK(Home!S7,Idiomas!C161)</f>
        <v>#VALUE!</v>
      </c>
      <c r="J20" s="338" t="e" vm="3">
        <f>HYPERLINK(S8,Idiomas!C162)</f>
        <v>#VALUE!</v>
      </c>
      <c r="K20" s="339" t="e" vm="4">
        <f>HYPERLINK(S9,Idiomas!C163)</f>
        <v>#VALUE!</v>
      </c>
      <c r="L20" s="4"/>
    </row>
    <row r="21" spans="6:14" x14ac:dyDescent="0.3">
      <c r="M21" s="340"/>
    </row>
    <row r="22" spans="6:14" x14ac:dyDescent="0.3"/>
    <row r="24" spans="6:14" hidden="1" x14ac:dyDescent="0.3">
      <c r="N24" s="7"/>
    </row>
    <row r="57" spans="81:880" hidden="1" x14ac:dyDescent="0.3">
      <c r="AGA57" s="319">
        <f t="array" ref="AGA57">IF(AND($BZ$57:$BZ$58=$BZ$57,$BZ$58&lt;&gt;$BZ$59,$BZ$59&lt;&gt;$BZ$60,$BZ$60&lt;&gt;$BZ$61,$BZ$61:$BZ$62=$BZ$61,$CB$57:$CB$58=$CB$57,$CB$61:$CB$62=$CB$61,$CC$57:$CC$58=$CC$57,$CC$61&lt;&gt;$CC$62,$CD$57:$CD$58=$CD$57),1,0)</f>
        <v>0</v>
      </c>
      <c r="AGB57" s="319">
        <f t="array" ref="AGB57">IF(AND($BZ$57:$BZ$58=$BZ$57,$BZ$58&lt;&gt;$BZ$59,$BZ$59&lt;&gt;$BZ$60,$BZ$60&lt;&gt;$BZ$61,$BZ$61:$BZ$62=$BZ$61,$CB$57:$CB$58=$CB$57,$CB$61:$CB$62=$CB$61,$CC$57&lt;&gt;$CC$58,$CC$61:$CC$62=$CC$61,$CD$61:$CD$62=$CD$61),1,0)</f>
        <v>0</v>
      </c>
      <c r="AGC57" s="319">
        <f t="array" ref="AGC57">IF(AND($BZ$57:$BZ$58=$BZ$57,$BZ$58&lt;&gt;$BZ$59,$BZ$59&lt;&gt;$BZ$60,$BZ$60&lt;&gt;$BZ$61,$BZ$61:$BZ$62=$BZ$61,$CB$57:$CB$58=$CB$57,$CB$61:$CB$62=$CB$61,$CC$57&lt;&gt;$CC$58,$CC$61&lt;&gt;$CC$62),1,0)</f>
        <v>0</v>
      </c>
    </row>
    <row r="58" spans="81:880" hidden="1" x14ac:dyDescent="0.3">
      <c r="CC58" s="319">
        <v>5</v>
      </c>
      <c r="AGA58" s="319">
        <f t="array" ref="AGA58">IF(AND($BZ$57:$BZ$58=$BZ$58,$BZ$58&lt;&gt;$BZ$59,$BZ$59&lt;&gt;$BZ$60,$BZ$60&lt;&gt;$BZ$61,$BZ$61:$BZ$62=$BZ$61,$CB$57:$CB$58=$CB$58,$CB$61:$CB$62=$CB$61,$CC$57:$CC$58=$CC$58,$CC$61&lt;&gt;$CC$62,$CD$57:$CD$58=$CD$58),1,0)</f>
        <v>0</v>
      </c>
      <c r="AGB58" s="319">
        <f t="array" ref="AGB58">IF(AND($BZ$57:$BZ$58=$BZ$58,$BZ$58&lt;&gt;$BZ$59,$BZ$59&lt;&gt;$BZ$60,$BZ$60&lt;&gt;$BZ$61,$BZ$61:$BZ$62=$BZ$61,$CB$57:$CB$58=$CB$58,$CB$61:$CB$62=$CB$61,$CC$57&lt;&gt;$CC$58,$CC$61:$CC$62=$CC$61,$CD$61:$CD$62=$CD$61),1,0)</f>
        <v>0</v>
      </c>
      <c r="AGC58" s="319">
        <f t="array" ref="AGC58">IF(AND($BZ$57:$BZ$58=$BZ$58,$BZ$58&lt;&gt;$BZ$59,$BZ$59&lt;&gt;$BZ$60,$BZ$60&lt;&gt;$BZ$61,$BZ$61:$BZ$62=$BZ$61,$CB$57:$CB$58=$CB$58,$CB$61:$CB$62=$CB$61,$CC$57&lt;&gt;$CC$58,$CC$61&lt;&gt;$CC$62),1,0)</f>
        <v>0</v>
      </c>
    </row>
    <row r="59" spans="81:880" hidden="1" x14ac:dyDescent="0.3">
      <c r="JW59" s="319">
        <f t="array" ref="JW59">IF(AND($BZ$57:$BZ$62=$BZ$59,$CB$57:$CB$62=$CB$59,$CC$57:$CC$58=$CC$58,$CC$58&lt;&gt;$CC$59,$CC$59:$CC$62=$CC$59,$CD$57:$CD$58=$CD$58,$CD$59&lt;&gt;$CD$60,$CD$60:$CD$62=$CD$60),1,0)</f>
        <v>0</v>
      </c>
      <c r="AGA59" s="319">
        <f t="array" ref="AGA59">IF(AND($BZ$57:$BZ$58=$BZ$58,$BZ$58&lt;&gt;$BZ$59,$BZ$59&lt;&gt;$BZ$60,$BZ$60&lt;&gt;$BZ$61,$BZ$61:$BZ$62=$BZ$61,$CB$57:$CB$58=$CB$58,$CB$61:$CB$62=$CB$61,$CC$57:$CC$58=$CC$58,$CC$61&lt;&gt;$CC$62,$CD$57:$CD$58=$CD$58),1,0)</f>
        <v>0</v>
      </c>
      <c r="AGB59" s="319">
        <f t="array" ref="AGB59">IF(AND($BZ$57:$BZ$58=$BZ$58,$BZ$58&lt;&gt;$BZ$59,$BZ$59&lt;&gt;$BZ$60,$BZ$60&lt;&gt;$BZ$61,$BZ$61:$BZ$62=$BZ$61,$CB$57:$CB$58=$CB$58,$CB$61:$CB$62=$CB$61,$CC$57&lt;&gt;$CC$58,$CC$61:$CC$62=$CC$61,$CD$61:$CD$62=$CD$61),1,0)</f>
        <v>0</v>
      </c>
      <c r="AGC59" s="319">
        <f t="array" ref="AGC59">IF(AND($BZ$57:$BZ$58=$BZ$58,$BZ$58&lt;&gt;$BZ$59,$BZ$59&lt;&gt;$BZ$60,$BZ$60&lt;&gt;$BZ$61,$BZ$61:$BZ$62=$BZ$61,$CB$57:$CB$58=$CB$58,$CB$61:$CB$62=$CB$61,$CC$57&lt;&gt;$CC$58,$CC$61&lt;&gt;$CC$62),1,0)</f>
        <v>0</v>
      </c>
    </row>
    <row r="60" spans="81:880" hidden="1" x14ac:dyDescent="0.3">
      <c r="JW60" s="319">
        <f t="array" ref="JW60">IF(AND($BZ$57:$BZ$62=$BZ$60,$CB$57:$CB$62=$CB$60,$CC$57:$CC$58=$CC$58,$CC$58&lt;&gt;$CC$59,$CC$59:$CC$62=$CC$60,$CD$57:$CD$58=$CD$58,$CD$59&lt;&gt;$CD$60,$CD$60:$CD$62=$CD$60),1,0)</f>
        <v>0</v>
      </c>
      <c r="AFW60" s="319">
        <f t="array" ref="AFW60">IF(AND($BZ$57:$BZ$58=$BZ$58,$BZ$58&lt;&gt;$BZ$59,$BZ$59&lt;&gt;$BZ$60,$BZ$60:$BZ$62=$BZ$60,$CB$57:$CB$58=$CB$58,$CB$60:$CB$62=$CB$60,$CC$57&lt;&gt;$CC$58,$CC$60:$CC$62=$CC$60,$CD$60:$CD$62=$CD$60),1,0)</f>
        <v>0</v>
      </c>
      <c r="AFX60" s="319">
        <f t="array" ref="AFX60">IF(AND($BZ$57:$BZ$58=$BZ$58,$BZ$58&lt;&gt;$BZ$59,$BZ$59&lt;&gt;$BZ$60,$BZ$60:$BZ$62=$BZ$60,$CB$57:$CB$58=$CB$58,$CB$60:$CB$62=$CB$60,$CC$57&lt;&gt;$CC$58,$CC$60:$CC$62=$CC$60,$CD$60:$CD$62=$CD$60),1,0)</f>
        <v>0</v>
      </c>
      <c r="AGA60" s="319">
        <f t="array" ref="AGA60">IF(AND($BZ$57:$BZ$58=$BZ$58,$BZ$58&lt;&gt;$BZ$59,$BZ$59&lt;&gt;$BZ$60,$BZ$60&lt;&gt;$BZ$61,$BZ$61:$BZ$62=$BZ$61,$CB$57:$CB$58=$CB$58,$CB$61:$CB$62=$CB$61,$CC$57:$CC$58=$CC$58,$CC$61&lt;&gt;$CC$62,$CD$57:$CD$58=$CD$58),1,0)</f>
        <v>0</v>
      </c>
      <c r="AGB60" s="319">
        <f t="array" ref="AGB60">IF(AND($BZ$57:$BZ$58=$BZ$58,$BZ$58&lt;&gt;$BZ$59,$BZ$59&lt;&gt;$BZ$60,$BZ$60&lt;&gt;$BZ$61,$BZ$61:$BZ$62=$BZ$61,$CB$57:$CB$58=$CB$58,$CB$61:$CB$62=$CB$61,$CC$57&lt;&gt;$CC$58,$CC$61:$CC$62=$CC$61,$CD$61:$CD$62=$CD$61),1,0)</f>
        <v>0</v>
      </c>
      <c r="AGC60" s="319">
        <f t="array" ref="AGC60">IF(AND($BZ$57:$BZ$58=$BZ$58,$BZ$58&lt;&gt;$BZ$59,$BZ$59&lt;&gt;$BZ$60,$BZ$60&lt;&gt;$BZ$61,$BZ$61:$BZ$62=$BZ$61,$CB$57:$CB$58=$CB$58,$CB$61:$CB$62=$CB$61,$CC$57&lt;&gt;$CC$58,$CC$61&lt;&gt;$CC$62),1,0)</f>
        <v>0</v>
      </c>
    </row>
    <row r="61" spans="81:880" hidden="1" x14ac:dyDescent="0.3">
      <c r="JW61" s="319">
        <f t="array" ref="JW61">IF(AND($BZ$57:$BZ$62=$BZ$61,$CB$57:$CB$62=$CB$61,$CC$57:$CC$58=$CC$58,$CC$58&lt;&gt;$CC$59,$CC$59:$CC$62=$CC$60,$CD$57:$CD$58=$CD$58,$CD$59&lt;&gt;$CD$60,$CD$60:$CD$62=$CD$61),1,0)</f>
        <v>0</v>
      </c>
      <c r="AFW61" s="319">
        <f t="array" ref="AFW61">IF(AND($BZ$57:$BZ$58=$BZ$58,$BZ$58&lt;&gt;$BZ$59,$BZ$59&lt;&gt;$BZ$60,$BZ$60:$BZ$62=$BZ$61,$CB$57:$CB$58=$CB$58,$CB$60:$CB$62=$CB$61,$CC$57&lt;&gt;$CC$58,$CC$60:$CC$62=$CC$61,$CD$60:$CD$62=$CD$61),1,0)</f>
        <v>0</v>
      </c>
      <c r="AFX61" s="319">
        <f t="array" ref="AFX61">IF(AND($BZ$57:$BZ$58=$BZ$58,$BZ$58&lt;&gt;$BZ$59,$BZ$59&lt;&gt;$BZ$60,$BZ$60:$BZ$62=$BZ$61,$CB$57:$CB$58=$CB$58,$CB$60:$CB$62=$CB$61,$CC$57&lt;&gt;$CC$58,$CC$60:$CC$62=$CC$61,$CD$60:$CD$62=$CD$61),1,0)</f>
        <v>0</v>
      </c>
      <c r="AGA61" s="319">
        <f t="array" ref="AGA61">IF(AND($BZ$57:$BZ$58=$BZ$58,$BZ$58&lt;&gt;$BZ$59,$BZ$59&lt;&gt;$BZ$60,$BZ$60&lt;&gt;$BZ$61,$BZ$61:$BZ$62=$BZ$61,$CB$57:$CB$58=$CB$58,$CB$61:$CB$62=$CB$61,$CC$57:$CC$58=$CC$58,$CC$61&lt;&gt;$CC$62,$CD$57:$CD$58=$CD$58),1,0)</f>
        <v>0</v>
      </c>
      <c r="AGB61" s="319">
        <f t="array" ref="AGB61">IF(AND($BZ$57:$BZ$58=$BZ$58,$BZ$58&lt;&gt;$BZ$59,$BZ$59&lt;&gt;$BZ$60,$BZ$60&lt;&gt;$BZ$61,$BZ$61:$BZ$62=$BZ$61,$CB$57:$CB$58=$CB$58,$CB$61:$CB$62=$CB$61,$CC$57&lt;&gt;$CC$58,$CC$61:$CC$62=$CC$61,$CD$61:$CD$62=$CD$61),1,0)</f>
        <v>0</v>
      </c>
      <c r="AGC61" s="319">
        <f t="array" ref="AGC61">IF(AND($BZ$57:$BZ$58=$BZ$58,$BZ$58&lt;&gt;$BZ$59,$BZ$59&lt;&gt;$BZ$60,$BZ$60&lt;&gt;$BZ$61,$BZ$61:$BZ$62=$BZ$61,$CB$57:$CB$58=$CB$58,$CB$61:$CB$62=$CB$61,$CC$57&lt;&gt;$CC$58,$CC$61&lt;&gt;$CC$62),1,0)</f>
        <v>0</v>
      </c>
    </row>
    <row r="62" spans="81:880" hidden="1" x14ac:dyDescent="0.3">
      <c r="CC62" s="319">
        <v>1</v>
      </c>
      <c r="JW62" s="319">
        <f t="array" ref="JW62">IF(AND($BZ$57:$BZ$62=$BZ$62,$CB$57:$CB$62=$CB$62,$CC$57:$CC$58=$CC$58,$CC$58&lt;&gt;$CC$59,$CC$59:$CC$62=$CC$60,$CD$57:$CD$58=$CD$58,$CD$59&lt;&gt;$CD$60,$CD$60:$CD$62=$CD$62),1,0)</f>
        <v>0</v>
      </c>
      <c r="AFW62" s="319">
        <f t="array" ref="AFW62">IF(AND($BZ$57:$BZ$58=$BZ$58,$BZ$58&lt;&gt;$BZ$59,$BZ$59&lt;&gt;$BZ$60,$BZ$60:$BZ$62=$BZ$62,$CB$57:$CB$58=$CB$58,$CB$60:$CB$62=$CB$62,$CC$57&lt;&gt;$CC$58,$CC$60:$CC$62=$CC$62,$CD$60:$CD$62=$CD$62),1,0)</f>
        <v>0</v>
      </c>
      <c r="AFX62" s="319">
        <f t="array" ref="AFX62">IF(AND($BZ$57:$BZ$58=$BZ$58,$BZ$58&lt;&gt;$BZ$59,$BZ$59&lt;&gt;$BZ$60,$BZ$60:$BZ$62=$BZ$62,$CB$57:$CB$58=$CB$58,$CB$60:$CB$62=$CB$62,$CC$57&lt;&gt;$CC$58,$CC$60:$CC$62=$CC$62,$CD$60:$CD$62=$CD$62),1,0)</f>
        <v>0</v>
      </c>
      <c r="AGA62" s="319">
        <f t="array" ref="AGA62">IF(AND($BZ$57:$BZ$58=$BZ$58,$BZ$58&lt;&gt;$BZ$59,$BZ$59&lt;&gt;$BZ$60,$BZ$60&lt;&gt;$BZ$61,$BZ$61:$BZ$62=$BZ$62,$CB$57:$CB$58=$CB$58,$CB$61:$CB$62=$CB$62,$CC$57:$CC$58=$CC$58,$CC$61&lt;&gt;$CC$62,$CD$57:$CD$58=$CD$58),1,0)</f>
        <v>0</v>
      </c>
      <c r="AGB62" s="319">
        <f t="array" ref="AGB62">IF(AND($BZ$57:$BZ$58=$BZ$58,$BZ$58&lt;&gt;$BZ$59,$BZ$59&lt;&gt;$BZ$60,$BZ$60&lt;&gt;$BZ$61,$BZ$61:$BZ$62=$BZ$62,$CB$57:$CB$58=$CB$58,$CB$61:$CB$62=$CB$62,$CC$57&lt;&gt;$CC$58,$CC$61:$CC$62=$CC$62,$CD$61:$CD$62=$CD$62),1,0)</f>
        <v>0</v>
      </c>
      <c r="AGC62" s="319">
        <f t="array" ref="AGC62">IF(AND($BZ$57:$BZ$58=$BZ$58,$BZ$58&lt;&gt;$BZ$59,$BZ$59&lt;&gt;$BZ$60,$BZ$60&lt;&gt;$BZ$61,$BZ$61:$BZ$62=$BZ$62,$CB$57:$CB$58=$CB$58,$CB$61:$CB$62=$CB$62,$CC$57&lt;&gt;$CC$58,$CC$61&lt;&gt;$CC$62),1,0)</f>
        <v>0</v>
      </c>
      <c r="AGU62" s="319">
        <f t="array" ref="AGU62">IF(AND($BZ$57&lt;&gt;$BZ$58,$BZ$58:$BZ$62=$BZ$62,$CB$58:$CB$62=$CB$62,$CC$58&lt;&gt;$CC$59,$CC$59&lt;&gt;$CC$60,$CC$60&lt;&gt;$CC$61,$CC$61:$CC$62=$CC$62,$CD$61:$CD$62=$CD$62),1,0)</f>
        <v>0</v>
      </c>
      <c r="AGV62" s="319">
        <f t="array" ref="AGV62">IF(AND($BZ$57&lt;&gt;$BZ$58,$BZ$58:$BZ$62=$BZ$62,$CB$58:$CB$62=$CB$62,$CC$58&lt;&gt;$CC$59,$CC$59&lt;&gt;$CC$60,$CC$60&lt;&gt;$CC$61,$CC$61&lt;&gt;$CC$62),1,0)</f>
        <v>0</v>
      </c>
    </row>
  </sheetData>
  <sheetProtection algorithmName="SHA-512" hashValue="tSHMWlU2Ze6OdsaRZfWcF10uLAlRAeo2bM2z809x9KPJK8ffV2AJIAh6BS7GHfYrUqHkvvS1UCtwQBd2jm1PGw==" saltValue="r5hmPMmlQzdDy0JGURBekA==" spinCount="100000" sheet="1" objects="1" scenarios="1"/>
  <mergeCells count="2">
    <mergeCell ref="S15:V15"/>
    <mergeCell ref="L7:P7"/>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4D17BDE-054B-BD4E-86CB-B40321F8102C}">
          <x14:formula1>
            <xm:f>Idiomas!$A$2:$A$4</xm:f>
          </x14:formula1>
          <xm:sqref>G7</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USI219"/>
  <sheetViews>
    <sheetView showGridLines="0" showRowColHeaders="0" tabSelected="1" topLeftCell="D1" zoomScaleNormal="100" workbookViewId="0">
      <selection activeCell="L5" sqref="L5"/>
    </sheetView>
  </sheetViews>
  <sheetFormatPr defaultColWidth="0" defaultRowHeight="14.4" zeroHeight="1" x14ac:dyDescent="0.3"/>
  <cols>
    <col min="1" max="2" width="10.77734375" style="285" hidden="1" customWidth="1"/>
    <col min="3" max="3" width="2.109375" style="285" hidden="1" customWidth="1"/>
    <col min="4" max="4" width="2.109375" style="319" customWidth="1"/>
    <col min="5" max="5" width="6.6640625" style="319" customWidth="1"/>
    <col min="6" max="6" width="11.44140625" style="319" customWidth="1"/>
    <col min="7" max="7" width="10" style="319" customWidth="1"/>
    <col min="8" max="8" width="4" style="319" bestFit="1" customWidth="1"/>
    <col min="9" max="9" width="19.44140625" style="319" customWidth="1"/>
    <col min="10" max="10" width="3.77734375" style="319" customWidth="1"/>
    <col min="11" max="12" width="5.33203125" style="319" customWidth="1"/>
    <col min="13" max="13" width="3.77734375" style="319" customWidth="1"/>
    <col min="14" max="14" width="19.109375" style="319" customWidth="1"/>
    <col min="15" max="15" width="3.44140625" style="319" customWidth="1"/>
    <col min="16" max="16" width="12.6640625" style="319" bestFit="1" customWidth="1"/>
    <col min="17" max="17" width="4.33203125" style="319" bestFit="1" customWidth="1"/>
    <col min="18" max="18" width="15.44140625" style="319" customWidth="1"/>
    <col min="19" max="19" width="7.33203125" style="319" customWidth="1"/>
    <col min="20" max="20" width="4.44140625" style="319" customWidth="1"/>
    <col min="21" max="21" width="6.44140625" style="319" customWidth="1"/>
    <col min="22" max="23" width="3.33203125" style="319" customWidth="1"/>
    <col min="24" max="24" width="3.44140625" style="319" customWidth="1"/>
    <col min="25" max="25" width="3.6640625" style="319" customWidth="1"/>
    <col min="26" max="26" width="4.109375" style="319" customWidth="1"/>
    <col min="27" max="27" width="3.44140625" style="4" customWidth="1"/>
    <col min="28" max="28" width="12.6640625" style="4" customWidth="1"/>
    <col min="29" max="29" width="3.44140625" style="4" customWidth="1"/>
    <col min="30" max="30" width="5.44140625" style="4" customWidth="1"/>
    <col min="31" max="31" width="3" style="596" customWidth="1"/>
    <col min="32" max="48" width="10.77734375" style="268" hidden="1" customWidth="1"/>
    <col min="49" max="49" width="14" style="268" hidden="1" customWidth="1"/>
    <col min="50" max="78" width="10.77734375" style="268" hidden="1" customWidth="1"/>
    <col min="79" max="16384" width="10.77734375" style="268" hidden="1"/>
  </cols>
  <sheetData>
    <row r="1" spans="1:141 5661:5661 8916:8916 13419:13419" ht="24" customHeight="1" x14ac:dyDescent="0.3">
      <c r="A1" s="162"/>
      <c r="B1" s="162"/>
      <c r="C1" s="162"/>
      <c r="D1" s="80"/>
      <c r="E1" s="90" t="str">
        <f>Idiomas!D11</f>
        <v>Selecciona Horario:</v>
      </c>
      <c r="F1" s="68"/>
      <c r="G1" s="618" t="s">
        <v>181</v>
      </c>
      <c r="H1" s="618"/>
      <c r="I1" s="154" t="str">
        <f>IF(G1=Horarios!L2,"(UTC -4)","")</f>
        <v/>
      </c>
      <c r="J1" s="90" t="str">
        <f>Idiomas!D12</f>
        <v>Rellenar los cuadros grises</v>
      </c>
      <c r="K1" s="91"/>
      <c r="L1" s="91"/>
      <c r="M1" s="91"/>
      <c r="N1" s="91"/>
      <c r="O1" s="68"/>
      <c r="P1" s="68"/>
      <c r="Q1" s="68"/>
      <c r="R1" s="68"/>
      <c r="S1" s="68"/>
      <c r="T1" s="68"/>
      <c r="U1" s="68"/>
      <c r="V1" s="68"/>
      <c r="W1" s="68"/>
      <c r="X1" s="68"/>
      <c r="Y1" s="68"/>
      <c r="Z1" s="68"/>
      <c r="AA1" s="68"/>
      <c r="AB1" s="68"/>
      <c r="AC1" s="68"/>
      <c r="AD1" s="68"/>
      <c r="AE1" s="288"/>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row>
    <row r="2" spans="1:141 5661:5661 8916:8916 13419:13419" x14ac:dyDescent="0.3">
      <c r="A2" s="162"/>
      <c r="B2" s="162"/>
      <c r="C2" s="162"/>
      <c r="D2" s="68"/>
      <c r="E2" s="69"/>
      <c r="F2" s="69"/>
      <c r="G2" s="162"/>
      <c r="H2" s="69"/>
      <c r="I2" s="69"/>
      <c r="J2" s="69"/>
      <c r="K2" s="69"/>
      <c r="L2" s="69"/>
      <c r="M2" s="69"/>
      <c r="N2" s="69"/>
      <c r="O2" s="70"/>
      <c r="P2" s="70"/>
      <c r="Q2" s="70"/>
      <c r="R2" s="70"/>
      <c r="S2" s="70"/>
      <c r="T2" s="70"/>
      <c r="U2" s="70"/>
      <c r="V2" s="70"/>
      <c r="W2" s="70"/>
      <c r="X2" s="70"/>
      <c r="Y2" s="70"/>
      <c r="Z2" s="70"/>
      <c r="AA2" s="71"/>
      <c r="AB2" s="71"/>
      <c r="AC2" s="71"/>
      <c r="AD2" s="71"/>
      <c r="AE2" s="72"/>
      <c r="AF2" s="293"/>
      <c r="AH2" s="268" t="s">
        <v>24</v>
      </c>
      <c r="AV2" s="268" t="s">
        <v>25</v>
      </c>
      <c r="AW2" s="268" t="s">
        <v>26</v>
      </c>
    </row>
    <row r="3" spans="1:141 5661:5661 8916:8916 13419:13419" ht="16.2" thickBot="1" x14ac:dyDescent="0.35">
      <c r="A3" s="162"/>
      <c r="B3" s="162"/>
      <c r="C3" s="162"/>
      <c r="D3" s="68"/>
      <c r="E3" s="88"/>
      <c r="F3" s="85" t="str">
        <f>Idiomas!D13</f>
        <v>Fecha</v>
      </c>
      <c r="G3" s="85" t="str">
        <f>Idiomas!D14</f>
        <v>Hora</v>
      </c>
      <c r="H3" s="89" t="str">
        <f>Idiomas!D15</f>
        <v>Jor.</v>
      </c>
      <c r="I3" s="153" t="str">
        <f>Idiomas!D16</f>
        <v>Casa</v>
      </c>
      <c r="J3" s="85"/>
      <c r="K3" s="85" t="str">
        <f>Idiomas!D17</f>
        <v>Gol</v>
      </c>
      <c r="L3" s="85" t="str">
        <f>Idiomas!D17</f>
        <v>Gol</v>
      </c>
      <c r="M3" s="85"/>
      <c r="N3" s="88" t="str">
        <f>Idiomas!D18</f>
        <v>Fuera</v>
      </c>
      <c r="O3" s="70"/>
      <c r="P3" s="70"/>
      <c r="Q3" s="262" t="str">
        <f>Idiomas!D19</f>
        <v>Grupo</v>
      </c>
      <c r="R3" s="70"/>
      <c r="S3" s="70"/>
      <c r="T3" s="70"/>
      <c r="U3" s="70"/>
      <c r="V3" s="70"/>
      <c r="W3" s="70"/>
      <c r="X3" s="70"/>
      <c r="Y3" s="70"/>
      <c r="Z3" s="70"/>
      <c r="AA3" s="71"/>
      <c r="AB3" s="263" t="str">
        <f>Idiomas!D20</f>
        <v>¡EMPATE! Puedes seleccionar el orden de los empatados.</v>
      </c>
      <c r="AC3" s="71"/>
      <c r="AD3" s="71"/>
      <c r="AE3" s="72"/>
      <c r="AF3" s="88"/>
      <c r="AG3" s="84"/>
      <c r="AV3" s="268" t="s">
        <v>31</v>
      </c>
      <c r="AW3" s="294">
        <f>AW4*2</f>
        <v>20000000000</v>
      </c>
      <c r="CA3" s="293"/>
      <c r="CB3" s="293"/>
      <c r="CW3" s="268" t="s">
        <v>200</v>
      </c>
      <c r="CX3" s="554" t="str">
        <f>TEXT(CX5,"0000")</f>
        <v>4444</v>
      </c>
      <c r="CY3" s="554" t="str">
        <f t="shared" ref="CY3:DE3" si="0">TEXT(CY5,"0000")</f>
        <v>3331</v>
      </c>
      <c r="CZ3" s="554" t="str">
        <f t="shared" si="0"/>
        <v>2222</v>
      </c>
      <c r="DA3" s="554" t="str">
        <f t="shared" si="0"/>
        <v>2211</v>
      </c>
      <c r="DB3" s="554" t="str">
        <f t="shared" si="0"/>
        <v>1333</v>
      </c>
      <c r="DC3" s="554" t="str">
        <f t="shared" si="0"/>
        <v>1221</v>
      </c>
      <c r="DD3" s="554" t="str">
        <f t="shared" si="0"/>
        <v>1122</v>
      </c>
      <c r="DE3" s="554" t="str">
        <f t="shared" si="0"/>
        <v>1111</v>
      </c>
      <c r="DH3" s="268" t="s">
        <v>44</v>
      </c>
      <c r="DI3" s="268" t="s">
        <v>45</v>
      </c>
      <c r="DJ3" s="268" t="s">
        <v>46</v>
      </c>
      <c r="DK3" s="268" t="s">
        <v>47</v>
      </c>
      <c r="DL3" s="268" t="s">
        <v>48</v>
      </c>
      <c r="DM3" s="268" t="s">
        <v>49</v>
      </c>
      <c r="DN3" s="268" t="s">
        <v>50</v>
      </c>
      <c r="DO3" s="268" t="s">
        <v>51</v>
      </c>
      <c r="DP3" s="268" t="s">
        <v>52</v>
      </c>
      <c r="DQ3" s="268" t="s">
        <v>53</v>
      </c>
      <c r="MDX3" s="268" t="s">
        <v>19</v>
      </c>
    </row>
    <row r="4" spans="1:141 5661:5661 8916:8916 13419:13419" ht="15" customHeight="1" x14ac:dyDescent="0.3">
      <c r="A4" s="234" t="s">
        <v>64</v>
      </c>
      <c r="B4" s="235" t="s">
        <v>0</v>
      </c>
      <c r="C4" s="283">
        <f>COUNTIF(Equipos!$C$2:$C$17,'COPA AMERICA'!B4)</f>
        <v>4</v>
      </c>
      <c r="D4" s="150"/>
      <c r="E4" s="632" t="s">
        <v>0</v>
      </c>
      <c r="F4" s="29">
        <f>Horarios!C4</f>
        <v>45464.041666666672</v>
      </c>
      <c r="G4" s="30">
        <f>Horarios!C4</f>
        <v>45464.041666666672</v>
      </c>
      <c r="H4" s="29" t="str">
        <f>Idiomas!D54</f>
        <v>J1</v>
      </c>
      <c r="I4" s="31" t="str">
        <f ca="1">A5</f>
        <v>Argentina</v>
      </c>
      <c r="J4" s="32" t="str">
        <f ca="1">VLOOKUP(I4,Equipos!$K$2:$L$21,2,0)</f>
        <v>🇦🇷</v>
      </c>
      <c r="K4" s="555"/>
      <c r="L4" s="555"/>
      <c r="M4" s="33" t="str">
        <f ca="1">VLOOKUP(N4,Equipos!$K$2:$L$21,2,0)</f>
        <v>🇨🇦</v>
      </c>
      <c r="N4" s="34" t="str">
        <f ca="1">A8</f>
        <v>Canadá</v>
      </c>
      <c r="O4" s="87">
        <f t="shared" ref="O4:O9" si="1">IF(NOT(OR(ISBLANK(K4),ISBLANK(L4))),1,0)</f>
        <v>0</v>
      </c>
      <c r="P4" s="84"/>
      <c r="Q4" s="108" t="str">
        <f>CONCATENATE(Q3," ",B4)</f>
        <v>Grupo A</v>
      </c>
      <c r="R4" s="109"/>
      <c r="S4" s="109"/>
      <c r="T4" s="109"/>
      <c r="U4" s="109"/>
      <c r="V4" s="109"/>
      <c r="W4" s="109"/>
      <c r="X4" s="109"/>
      <c r="Y4" s="109"/>
      <c r="Z4" s="110"/>
      <c r="AA4" s="93"/>
      <c r="AB4" s="631" t="str">
        <f ca="1">IF($AA$5&gt;0,AB3,"")</f>
        <v/>
      </c>
      <c r="AC4" s="631"/>
      <c r="AD4" s="631"/>
      <c r="AE4" s="72"/>
      <c r="AF4" s="293"/>
      <c r="AH4" s="268" t="str">
        <f>CONCATENATE("Auxiliar - ",Q4)</f>
        <v>Auxiliar - Grupo A</v>
      </c>
      <c r="AU4" s="268" t="s">
        <v>41</v>
      </c>
      <c r="AV4" s="268" t="s">
        <v>34</v>
      </c>
      <c r="AW4" s="294">
        <f>AW5*100</f>
        <v>10000000000</v>
      </c>
      <c r="AY4" s="293" t="str">
        <f>CONCATENATE(Q4," - GOLAVERAGE")</f>
        <v>Grupo A - GOLAVERAGE</v>
      </c>
      <c r="BB4" s="268" t="s">
        <v>29</v>
      </c>
      <c r="BH4" s="630" t="s">
        <v>28</v>
      </c>
      <c r="BI4" s="630"/>
      <c r="BJ4" s="630"/>
      <c r="BK4" s="630"/>
      <c r="BL4" s="630"/>
      <c r="BM4" s="630"/>
      <c r="BN4" s="630" t="s">
        <v>113</v>
      </c>
      <c r="BO4" s="630"/>
      <c r="BP4" s="630"/>
      <c r="BQ4" s="630"/>
      <c r="BR4" s="630"/>
      <c r="BS4" s="630"/>
      <c r="CX4" s="268">
        <v>1</v>
      </c>
      <c r="CY4" s="268">
        <v>2</v>
      </c>
      <c r="CZ4" s="268">
        <v>3</v>
      </c>
      <c r="DA4" s="268">
        <v>4</v>
      </c>
      <c r="DB4" s="268">
        <v>5</v>
      </c>
      <c r="DC4" s="268">
        <v>6</v>
      </c>
      <c r="DD4" s="268">
        <v>7</v>
      </c>
      <c r="DE4" s="268">
        <v>8</v>
      </c>
      <c r="DG4" s="268" t="s">
        <v>383</v>
      </c>
      <c r="DH4" s="268">
        <v>1234</v>
      </c>
      <c r="DI4" s="268">
        <v>123</v>
      </c>
      <c r="DJ4" s="268">
        <v>12</v>
      </c>
      <c r="DK4" s="268">
        <v>234</v>
      </c>
      <c r="DL4" s="268">
        <v>34</v>
      </c>
      <c r="DM4" s="268">
        <v>23</v>
      </c>
      <c r="DN4" s="268">
        <v>1</v>
      </c>
      <c r="DO4" s="268">
        <v>2</v>
      </c>
      <c r="DP4" s="268">
        <v>3</v>
      </c>
      <c r="DQ4" s="268">
        <v>4</v>
      </c>
    </row>
    <row r="5" spans="1:141 5661:5661 8916:8916 13419:13419" ht="16.2" thickBot="1" x14ac:dyDescent="0.35">
      <c r="A5" s="234" t="str">
        <f t="array" aca="1" ref="A5" ca="1">IF(ROWS(A$5:A5)&lt;=$C$4,INDEX(INDIRECT(A$4),SMALL(IF(Nivell=$B$4,ROW(Nivell)-ROW(Equipos!$C$2)+1),ROWS(B$4:B4))),"")</f>
        <v>Argentina</v>
      </c>
      <c r="B5" s="235"/>
      <c r="C5" s="235"/>
      <c r="D5" s="150"/>
      <c r="E5" s="633"/>
      <c r="F5" s="14">
        <f>Horarios!C5</f>
        <v>45465.041666666672</v>
      </c>
      <c r="G5" s="15">
        <f>Horarios!C5</f>
        <v>45465.041666666672</v>
      </c>
      <c r="H5" s="14" t="str">
        <f>$H$4</f>
        <v>J1</v>
      </c>
      <c r="I5" s="16" t="str">
        <f ca="1">A6</f>
        <v>Perú</v>
      </c>
      <c r="J5" s="17" t="str">
        <f ca="1">VLOOKUP(I5,Equipos!$K$2:$L$21,2,0)</f>
        <v>🇵🇪</v>
      </c>
      <c r="K5" s="556"/>
      <c r="L5" s="556"/>
      <c r="M5" s="18" t="str">
        <f ca="1">VLOOKUP(N5,Equipos!$K$2:$L$21,2,0)</f>
        <v>🇨🇱</v>
      </c>
      <c r="N5" s="35" t="str">
        <f ca="1">A7</f>
        <v>Chile</v>
      </c>
      <c r="O5" s="87">
        <f t="shared" si="1"/>
        <v>0</v>
      </c>
      <c r="P5" s="84"/>
      <c r="Q5" s="111" t="str">
        <f>Idiomas!D44</f>
        <v>Pos</v>
      </c>
      <c r="R5" s="112" t="str">
        <f>Idiomas!D45</f>
        <v>Selección</v>
      </c>
      <c r="S5" s="113" t="str">
        <f>Idiomas!D46</f>
        <v>Pts</v>
      </c>
      <c r="T5" s="113" t="str">
        <f>Idiomas!D47</f>
        <v>J</v>
      </c>
      <c r="U5" s="113" t="str">
        <f>Idiomas!D48</f>
        <v>G</v>
      </c>
      <c r="V5" s="113" t="str">
        <f>Idiomas!D49</f>
        <v>E</v>
      </c>
      <c r="W5" s="113" t="str">
        <f>Idiomas!D50</f>
        <v>P</v>
      </c>
      <c r="X5" s="113" t="str">
        <f>Idiomas!D51</f>
        <v>GF</v>
      </c>
      <c r="Y5" s="113" t="str">
        <f>Idiomas!D52</f>
        <v>GC</v>
      </c>
      <c r="Z5" s="114" t="str">
        <f>Idiomas!D53</f>
        <v>DG</v>
      </c>
      <c r="AA5" s="93">
        <f ca="1">COUNTIF(AA6:AA9,"&lt;100")</f>
        <v>0</v>
      </c>
      <c r="AB5" s="631"/>
      <c r="AC5" s="631"/>
      <c r="AD5" s="631"/>
      <c r="AE5" s="72"/>
      <c r="AF5" s="293"/>
      <c r="AG5" s="296" t="s">
        <v>41</v>
      </c>
      <c r="AH5" s="296" t="s">
        <v>13</v>
      </c>
      <c r="AI5" s="296" t="s">
        <v>5</v>
      </c>
      <c r="AJ5" s="296" t="s">
        <v>14</v>
      </c>
      <c r="AK5" s="296" t="s">
        <v>6</v>
      </c>
      <c r="AL5" s="296" t="s">
        <v>7</v>
      </c>
      <c r="AM5" s="296" t="s">
        <v>3</v>
      </c>
      <c r="AN5" s="296" t="s">
        <v>8</v>
      </c>
      <c r="AO5" s="296" t="s">
        <v>9</v>
      </c>
      <c r="AP5" s="296" t="s">
        <v>10</v>
      </c>
      <c r="AQ5" s="296" t="s">
        <v>11</v>
      </c>
      <c r="AR5" s="296" t="s">
        <v>15</v>
      </c>
      <c r="AS5" s="296" t="s">
        <v>13</v>
      </c>
      <c r="AV5" s="268" t="s">
        <v>158</v>
      </c>
      <c r="AW5" s="294">
        <f>AW6*100</f>
        <v>100000000</v>
      </c>
      <c r="AY5" s="296" t="s">
        <v>5</v>
      </c>
      <c r="AZ5" s="296" t="s">
        <v>30</v>
      </c>
      <c r="BA5" s="296" t="s">
        <v>33</v>
      </c>
      <c r="BB5" s="296" t="s">
        <v>32</v>
      </c>
      <c r="BC5" s="296" t="s">
        <v>27</v>
      </c>
      <c r="BD5" s="296" t="str">
        <f ca="1">AY6</f>
        <v>Argentina</v>
      </c>
      <c r="BE5" s="296" t="str">
        <f ca="1">AY7</f>
        <v>Perú</v>
      </c>
      <c r="BF5" s="296" t="str">
        <f ca="1">AY8</f>
        <v>Chile</v>
      </c>
      <c r="BG5" s="296" t="str">
        <f ca="1">AY9</f>
        <v>Canadá</v>
      </c>
      <c r="BH5" s="296" t="s">
        <v>32</v>
      </c>
      <c r="BI5" s="296" t="s">
        <v>27</v>
      </c>
      <c r="BJ5" s="296" t="str">
        <f ca="1">BD5</f>
        <v>Argentina</v>
      </c>
      <c r="BK5" s="296" t="str">
        <f ca="1">BE5</f>
        <v>Perú</v>
      </c>
      <c r="BL5" s="296" t="str">
        <f ca="1">BF5</f>
        <v>Chile</v>
      </c>
      <c r="BM5" s="296" t="str">
        <f ca="1">BG5</f>
        <v>Canadá</v>
      </c>
      <c r="BN5" s="296" t="s">
        <v>32</v>
      </c>
      <c r="BO5" s="296" t="s">
        <v>27</v>
      </c>
      <c r="BP5" s="296" t="str">
        <f ca="1">BD5</f>
        <v>Argentina</v>
      </c>
      <c r="BQ5" s="296" t="str">
        <f ca="1">BE5</f>
        <v>Perú</v>
      </c>
      <c r="BR5" s="296" t="str">
        <f ca="1">BF5</f>
        <v>Chile</v>
      </c>
      <c r="BS5" s="296" t="str">
        <f ca="1">BG5</f>
        <v>Canadá</v>
      </c>
      <c r="BU5" s="293"/>
      <c r="BV5" s="293" t="s">
        <v>42</v>
      </c>
      <c r="BW5" s="544" t="s">
        <v>135</v>
      </c>
      <c r="BX5" s="293" t="s">
        <v>43</v>
      </c>
      <c r="BY5" s="293"/>
      <c r="CC5" s="293" t="s">
        <v>197</v>
      </c>
      <c r="CD5" s="297" t="s">
        <v>201</v>
      </c>
      <c r="CE5" s="296" t="s">
        <v>198</v>
      </c>
      <c r="CF5" s="296" t="s">
        <v>199</v>
      </c>
      <c r="CG5" s="293" t="s">
        <v>196</v>
      </c>
      <c r="CH5" s="296" t="s">
        <v>195</v>
      </c>
      <c r="CI5" s="296"/>
      <c r="CJ5" s="296"/>
      <c r="CK5" s="296"/>
      <c r="CL5" s="296"/>
      <c r="CM5" s="296"/>
      <c r="CN5" s="296"/>
      <c r="CO5" s="295"/>
      <c r="CP5" s="268">
        <v>1</v>
      </c>
      <c r="CQ5" s="268">
        <v>2</v>
      </c>
      <c r="CR5" s="268">
        <v>3</v>
      </c>
      <c r="CS5" s="268">
        <v>4</v>
      </c>
      <c r="CW5" s="554"/>
      <c r="CX5" s="554">
        <v>4444</v>
      </c>
      <c r="CY5" s="554">
        <v>3331</v>
      </c>
      <c r="CZ5" s="554">
        <v>2222</v>
      </c>
      <c r="DA5" s="554">
        <v>2211</v>
      </c>
      <c r="DB5" s="554">
        <v>1333</v>
      </c>
      <c r="DC5" s="554">
        <v>1221</v>
      </c>
      <c r="DD5" s="554">
        <v>1122</v>
      </c>
      <c r="DE5" s="554">
        <v>1111</v>
      </c>
      <c r="DH5" s="268">
        <v>1</v>
      </c>
      <c r="DI5" s="268">
        <v>1</v>
      </c>
      <c r="DJ5" s="268">
        <v>1</v>
      </c>
      <c r="DK5" s="268">
        <v>2</v>
      </c>
      <c r="DL5" s="268">
        <v>3</v>
      </c>
      <c r="DM5" s="268">
        <v>2</v>
      </c>
      <c r="DN5" s="268">
        <v>1</v>
      </c>
      <c r="DO5" s="268">
        <v>2</v>
      </c>
      <c r="DP5" s="268">
        <v>3</v>
      </c>
      <c r="DQ5" s="268">
        <v>4</v>
      </c>
      <c r="EG5" s="296"/>
      <c r="EI5" s="296"/>
      <c r="EK5" s="296"/>
    </row>
    <row r="6" spans="1:141 5661:5661 8916:8916 13419:13419" ht="15.6" x14ac:dyDescent="0.3">
      <c r="A6" s="234" t="str">
        <f t="array" aca="1" ref="A6" ca="1">IF(ROWS(A$5:A6)&lt;=$C$4,INDEX(INDIRECT(A$4),SMALL(IF(Nivell=$B$4,ROW(Nivell)-ROW(Equipos!$C$2)+1),ROWS(B$4:B5))),"")</f>
        <v>Perú</v>
      </c>
      <c r="B6" s="235"/>
      <c r="C6" s="236"/>
      <c r="D6" s="150"/>
      <c r="E6" s="633"/>
      <c r="F6" s="14">
        <f>Horarios!C6</f>
        <v>45468.958333333336</v>
      </c>
      <c r="G6" s="15">
        <f>Horarios!C6</f>
        <v>45468.958333333336</v>
      </c>
      <c r="H6" s="14" t="str">
        <f>Idiomas!D55</f>
        <v>J2</v>
      </c>
      <c r="I6" s="16" t="str">
        <f ca="1">A6</f>
        <v>Perú</v>
      </c>
      <c r="J6" s="17" t="str">
        <f ca="1">VLOOKUP(I6,Equipos!$K$2:$L$21,2,0)</f>
        <v>🇵🇪</v>
      </c>
      <c r="K6" s="556"/>
      <c r="L6" s="556"/>
      <c r="M6" s="18" t="str">
        <f ca="1">VLOOKUP(N6,Equipos!$K$2:$L$21,2,0)</f>
        <v>🇨🇦</v>
      </c>
      <c r="N6" s="35" t="str">
        <f ca="1">A8</f>
        <v>Canadá</v>
      </c>
      <c r="O6" s="87">
        <f t="shared" si="1"/>
        <v>0</v>
      </c>
      <c r="P6" s="84"/>
      <c r="Q6" s="98">
        <v>1</v>
      </c>
      <c r="R6" s="99" t="str">
        <f ca="1">VLOOKUP(Q6,$AG$6:$AI$9,3,0)</f>
        <v>Argentina</v>
      </c>
      <c r="S6" s="100">
        <f ca="1">VLOOKUP(R6,$AI$6:$AR$9,2,FALSE)</f>
        <v>0</v>
      </c>
      <c r="T6" s="100">
        <f ca="1">VLOOKUP($R6,$AI$6:$AR$9,3,FALSE)</f>
        <v>0</v>
      </c>
      <c r="U6" s="100">
        <f ca="1">VLOOKUP($R6,$AI$6:$AR$9,4,FALSE)</f>
        <v>0</v>
      </c>
      <c r="V6" s="100">
        <f ca="1">VLOOKUP($R6,$AI$6:$AR$9,5,FALSE)</f>
        <v>0</v>
      </c>
      <c r="W6" s="100">
        <f ca="1">VLOOKUP($R6,$AI$6:$AR$9,6,FALSE)</f>
        <v>0</v>
      </c>
      <c r="X6" s="100">
        <f ca="1">VLOOKUP($R6,$AI$6:$AR$9,7,FALSE)</f>
        <v>0</v>
      </c>
      <c r="Y6" s="100">
        <f ca="1">VLOOKUP($R6,$AI$6:$AR$9,8,FALSE)</f>
        <v>0</v>
      </c>
      <c r="Z6" s="101">
        <f ca="1">VLOOKUP($R6,$AI$6:$AR$9,9,FALSE)</f>
        <v>0</v>
      </c>
      <c r="AA6" s="75">
        <f ca="1">IF(SUM($AK$6:$AK$9)=12,MIN(ABS(BY5-BY6),ABS(BY6-BY7)),100)</f>
        <v>100</v>
      </c>
      <c r="AB6" s="94" t="str">
        <f ca="1">IF(AND(AA6&gt;=0,AA6&lt;90),VLOOKUP(Q6,$BU$6:$BV$9,2,0),"")</f>
        <v/>
      </c>
      <c r="AC6" s="74"/>
      <c r="AD6" s="75"/>
      <c r="AE6" s="75"/>
      <c r="AF6" s="293"/>
      <c r="AG6" s="268">
        <f ca="1">RANK(AU6,$AU$6:$AU$9)</f>
        <v>1</v>
      </c>
      <c r="AH6" s="268">
        <f ca="1">RANK(AR6,$AR$6:$AR$9)</f>
        <v>1</v>
      </c>
      <c r="AI6" s="268" t="str">
        <f ca="1">A5</f>
        <v>Argentina</v>
      </c>
      <c r="AJ6" s="268">
        <f ca="1">AL6*3+AM6*1+AN6*0</f>
        <v>0</v>
      </c>
      <c r="AK6" s="268">
        <f ca="1">COUNTIFS($I$4:$I$33,AI6,$K$4:$K$33,"&lt;&gt;",$L$4:$L$33,"&lt;&gt;")+COUNTIFS($N$4:$N$33,AI6,$L$4:$L$33,"&lt;&gt;",$K$4:$K$33,"&lt;&gt;")</f>
        <v>0</v>
      </c>
      <c r="AL6" s="268">
        <f t="array" aca="1" ref="AL6" ca="1">SUM(($I$4:$I$33=AI6)*($K$4:$K$33&lt;&gt;"")*($L$4:$L$33&lt;&gt;"")*($K$4:$K$33&gt;$L$4:$L$33),($N$4:$N$33=AI6)*($K$4:$K$33&lt;&gt;"")*($L$4:$L$33&lt;&gt;"")*($K$4:$K$33&lt;$L$4:$L$33))</f>
        <v>0</v>
      </c>
      <c r="AM6" s="268">
        <f t="array" aca="1" ref="AM6" ca="1">SUM(($I$4:$I$33=AI6)*($K$4:$K$33&lt;&gt;"")*($L$4:$L$33&lt;&gt;"")*($K$4:$K$33=$L$4:$L$33),($N$4:$N$33=AI6)*($K$4:$K$33&lt;&gt;"")*($L$4:$L$33&lt;&gt;"")*($K$4:$K$33=$L$4:$L$33))</f>
        <v>0</v>
      </c>
      <c r="AN6" s="268">
        <f t="array" aca="1" ref="AN6" ca="1">SUM(($I$4:$I$33=AI6)*($L$4:$L$33&lt;&gt;"")*($K$4:$K$33&lt;&gt;"")*($K$4:$K$33&lt;$L$4:$L$33),($K$4:$K$33&lt;&gt;"")*($N$4:$N$33=AI6)*($L$4:$L$33&lt;&gt;"")*($K$4:$K$33&gt;$L$4:$L$33))</f>
        <v>0</v>
      </c>
      <c r="AO6" s="268">
        <f t="array" aca="1" ref="AO6" ca="1">SUMIFS($K$4:$K$33,$I$4:$I$33,AI6,$K$4:$K$33,"&lt;&gt;",$L$4:$L$33,"&lt;&gt;")+SUMIFS($L$4:$L$33,$N$4:$N$33,AI6,$K$4:$K$33,"&lt;&gt;",$L$4:$L$33,"&lt;&gt;")</f>
        <v>0</v>
      </c>
      <c r="AP6" s="268">
        <f t="array" aca="1" ref="AP6" ca="1">SUMIFS($K$4:$K$33,$N$4:$N$33,AI6,$K$4:$K$33,"&lt;&gt;",$L$4:$L$33,"&lt;&gt;")+SUMIFS($L$4:$L$33,$I$4:$I$33,AI6,$K$4:$K$33,"&lt;&gt;",$L$4:$L$33,"&lt;&gt;")</f>
        <v>0</v>
      </c>
      <c r="AQ6" s="268">
        <f ca="1">AO6-AP6</f>
        <v>0</v>
      </c>
      <c r="AR6" s="268">
        <f ca="1">IF(AK6=0,-($AW$10*VLOOKUP(AI6,Tabla3[[NombreEquipo]:[Rank]],3,FALSE)),AJ6*$AW$4+AQ6*$AW$5+AO6*$AW$6+BA6-($AW$10*VLOOKUP(AI6,Tabla3[[NombreEquipo]:[Rank]],3,FALSE)/100))</f>
        <v>-1</v>
      </c>
      <c r="AS6" s="268">
        <f ca="1">AH6</f>
        <v>1</v>
      </c>
      <c r="AU6" s="268">
        <f ca="1">IFERROR(AR6-VLOOKUP(AI6,$AB$6:$AC$9,2,0),AR6)</f>
        <v>-1</v>
      </c>
      <c r="AV6" s="268" t="s">
        <v>159</v>
      </c>
      <c r="AW6" s="294">
        <f>AW9*1000</f>
        <v>1000000</v>
      </c>
      <c r="AY6" s="297" t="str">
        <f ca="1">AI6</f>
        <v>Argentina</v>
      </c>
      <c r="AZ6" s="268">
        <f ca="1">COUNTIF(AJ6:AJ9,AJ6)</f>
        <v>4</v>
      </c>
      <c r="BA6" s="268">
        <f ca="1">(BB6*$AW$9)+(BH6*$AW$8)+(BN6*$AW$7)</f>
        <v>111000</v>
      </c>
      <c r="BB6" s="295">
        <f ca="1">RANK(BC6,BC6:BC9,1)</f>
        <v>1</v>
      </c>
      <c r="BC6" s="295">
        <f ca="1">SUM(IF(AND(AJ6=AJ7,AQ6=AQ7,AO6=AO7),BE6,0),IF(AND(AJ6=AJ8,AQ6=AQ8,AO6=AO8),BF6,0),IF(AND(AJ6=AJ9,AQ6=AQ9,AO6=AO9),BG6,0))</f>
        <v>0</v>
      </c>
      <c r="BD6" s="295">
        <v>0</v>
      </c>
      <c r="BE6" s="295">
        <f t="array" aca="1" ref="BE6" ca="1">SUMIFS($K$4:$K$9,$I$4:$I$9,$AY6,$K$4:$K$9,"&lt;&gt;",$L$4:$L$9,"&lt;&gt;",$N$4:$N$9,BE5)+SUMIFS($L$4:$L$9,$I$4:$I$9,BE5,$K$4:$K$9,"&lt;&gt;",$L$4:$L$9,"&lt;&gt;",$N$4:$N$9,$AY6)</f>
        <v>0</v>
      </c>
      <c r="BF6" s="295">
        <f t="array" aca="1" ref="BF6" ca="1">SUMIFS($K$4:$K$9,$I$4:$I$9,$AY6,$K$4:$K$9,"&lt;&gt;",$L$4:$L$9,"&lt;&gt;",$N$4:$N$9,BF5)+SUMIFS($L$4:$L$9,$I$4:$I$9,BF5,$K$4:$K$9,"&lt;&gt;",$L$4:$L$9,"&lt;&gt;",$N$4:$N$9,$AY6)</f>
        <v>0</v>
      </c>
      <c r="BG6" s="295">
        <f t="array" aca="1" ref="BG6" ca="1">SUMIFS($K$4:$K$9,$I$4:$I$9,$AY6,$K$4:$K$9,"&lt;&gt;",$L$4:$L$9,"&lt;&gt;",$N$4:$N$9,BG5)+SUMIFS($L$4:$L$9,$I$4:$I$9,BG5,$K$4:$K$9,"&lt;&gt;",$L$4:$L$9,"&lt;&gt;",$N$4:$N$9,$AY6)</f>
        <v>0</v>
      </c>
      <c r="BH6" s="295">
        <f ca="1">RANK(BI6,BI6:BI9,1)</f>
        <v>1</v>
      </c>
      <c r="BI6" s="295">
        <f ca="1">SUM(IF(AND(AJ6=AJ7,AQ6=AQ7,AO6=AO7),BK6,0),IF(AND(AJ6=AJ8,AQ6=AQ8,AO6=AO8),BL6,0),IF(AND(AJ6=AJ9,AQ6=AQ9,AO6=AO9),BM6,0))</f>
        <v>0</v>
      </c>
      <c r="BJ6" s="295">
        <v>0</v>
      </c>
      <c r="BK6" s="295">
        <f ca="1">BE6-BD7</f>
        <v>0</v>
      </c>
      <c r="BL6" s="295">
        <f ca="1">BF6-BD8</f>
        <v>0</v>
      </c>
      <c r="BM6" s="295">
        <f ca="1">BG6-BD9</f>
        <v>0</v>
      </c>
      <c r="BN6" s="295">
        <f ca="1">RANK(BO6,BO6:BO9,1)</f>
        <v>1</v>
      </c>
      <c r="BO6" s="295">
        <f ca="1">SUM(IF(AND(AJ6=AJ7,AQ6=AQ7,AO6=AO7),BQ6,0),IF(AND(AJ6=AJ8,AQ6=AQ8,AO6=AO8),BR6,0),IF(AND(AJ6=AJ9,AQ6=AQ9,AO6=AO9),BS6,0))</f>
        <v>0</v>
      </c>
      <c r="BP6" s="295">
        <v>0</v>
      </c>
      <c r="BQ6" s="295">
        <f t="array" aca="1" ref="BQ6" ca="1">SUM((I$4:I$33=AY6)*(N$4:N$33=BQ5)*(K$4:K$33&lt;&gt;"")*(L$4:L$33&lt;&gt;"")*(K$4:K$33&gt;L$4:L$33)*3,(N$4:N$33=AY6)*(I$4:I$33=BQ5)*(K$4:K$33&lt;&gt;"")*(L$4:L$33&lt;&gt;"")*(K$4:K$33=L$4:L$33)*1,(N$4:N$33=AY6)*(I$4:I$33=BQ5)*(K$4:K$33&lt;&gt;"")*(L$4:L$33&lt;&gt;"")*(K$4:K$33&lt;L$4:L$33)*3,(I$4:I$33=AY6)*(N$4:N$33=BQ5)*(K$4:K$33&lt;&gt;"")*(L$4:L$33&lt;&gt;"")*(K$4:K$33=L$4:L$33)*1)</f>
        <v>0</v>
      </c>
      <c r="BR6" s="295">
        <f t="array" aca="1" ref="BR6" ca="1">SUM((I$4:I$33=AY6)*(N$4:N$33=BR5)*(K$4:K$33&lt;&gt;"")*(L$4:L$33&lt;&gt;"")*(K$4:K$33&gt;L$4:L$33)*3,(N$4:N$33=AY6)*(I$4:I$33=BR5)*(K$4:K$33&lt;&gt;"")*(L$4:L$33&lt;&gt;"")*(K$4:K$33=L$4:L$33)*1,(N$4:N$33=AY6)*(I$4:I$33=BR5)*(K$4:K$33&lt;&gt;"")*(L$4:L$33&lt;&gt;"")*(K$4:K$33&lt;L$4:L$33)*3,(I$4:I$33=AY6)*(N$4:N$33=BR5)*(K$4:K$33&lt;&gt;"")*(L$4:L$33&lt;&gt;"")*(K$4:K$33=L$4:L$33)*1)</f>
        <v>0</v>
      </c>
      <c r="BS6" s="295">
        <f t="array" aca="1" ref="BS6" ca="1">SUM((I$4:I$33=AY6)*(N$4:N$33=BS5)*(K$4:K$33&lt;&gt;"")*(L$4:L$33&lt;&gt;"")*(K$4:K$33&gt;L$4:L$33)*3,(N$4:N$33=AY6)*(I$4:I$33=BS5)*(K$4:K$33&lt;&gt;"")*(L$4:L$33&lt;&gt;"")*(K$4:K$33=L$4:L$33)*1,(N$4:N$33=AY6)*(I$4:I$33=BS5)*(K$4:K$33&lt;&gt;"")*(L$4:L$33&lt;&gt;"")*(K$4:K$33&lt;L$4:L$33)*3,(I$4:I$33=AY6)*(N$4:N$33=BS5)*(K$4:K$33&lt;&gt;"")*(L$4:L$33&lt;&gt;"")*(K$4:K$33=L$4:L$33)*1)</f>
        <v>0</v>
      </c>
      <c r="BT6" s="268">
        <v>1</v>
      </c>
      <c r="BU6" s="268">
        <f ca="1">RANK(BW6,$BW$6:$BW$9)</f>
        <v>1</v>
      </c>
      <c r="BV6" s="268" t="str">
        <f ca="1">A5</f>
        <v>Argentina</v>
      </c>
      <c r="BW6" s="268">
        <f ca="1">IF(AK6=0,-($AW$10*VLOOKUP(AI6,Tabla3[[NombreEquipo]:[Rank]],3,FALSE)),AJ6*$AW$4+AQ6*$AW$5+AO6*$AW$6+BA6-($AW$10*VLOOKUP(AI6,Tabla3[[NombreEquipo]:[Rank]],3,FALSE)/100))</f>
        <v>-1</v>
      </c>
      <c r="BX6" s="268" t="str">
        <f ca="1">VLOOKUP(Q6,$AH$6:$AI$9,2,0)</f>
        <v>Argentina</v>
      </c>
      <c r="BY6" s="268">
        <f ca="1">VLOOKUP($BX6,$AI$6:$AR$9,10,FALSE)</f>
        <v>-1</v>
      </c>
      <c r="CC6" s="268">
        <f ca="1">RANK(CE6,$CE$6:$CE$9)</f>
        <v>1</v>
      </c>
      <c r="CD6" s="268" t="str">
        <f ca="1">A5</f>
        <v>Argentina</v>
      </c>
      <c r="CE6" s="268">
        <f ca="1">IF(AK6=0,-($AW$10*VLOOKUP(AI6,Tabla3[[NombreEquipo]:[Rank]],3,FALSE)),AJ6*$AW$4+AQ6*$AW$5+AO6*$AW$6+BA6-($AW$10*VLOOKUP(AI6,Tabla3[[NombreEquipo]:[Rank]],3,FALSE)/100))</f>
        <v>-1</v>
      </c>
      <c r="CF6" s="268">
        <f ca="1">IF(AK6=0,-($AW$10*VLOOKUP(AI6,Tabla3[[NombreEquipo]:[Rank]],3,FALSE)),AJ6*$AW$4+AQ6*$AW$5+AO6*$AW$6+BA6)</f>
        <v>-1</v>
      </c>
      <c r="CG6" s="268">
        <v>1</v>
      </c>
      <c r="CH6" s="268" t="str">
        <f ca="1">VLOOKUP(CG6,$CC$6:$CD$9,2,0)</f>
        <v>Argentina</v>
      </c>
      <c r="CI6" s="268">
        <f ca="1">VLOOKUP(CG6,$CC$6:$CF$9,4,0)</f>
        <v>-1</v>
      </c>
      <c r="CJ6" s="268">
        <f ca="1">COUNTIF($CI$6:$CI$9,CI6)</f>
        <v>1</v>
      </c>
      <c r="CK6" s="268" t="str">
        <f ca="1">CJ6&amp;CJ7&amp;CJ8&amp;CJ9</f>
        <v>1111</v>
      </c>
      <c r="CL6" s="268">
        <f ca="1">HLOOKUP(CK6,$CX$3:$DE$4,2,0)</f>
        <v>8</v>
      </c>
      <c r="CM6" s="268">
        <v>1</v>
      </c>
      <c r="CN6" s="268">
        <f ca="1">HLOOKUP(CL6,$CX$4:$DE$9,3,0)</f>
        <v>1</v>
      </c>
      <c r="CP6" s="268" cm="1">
        <f t="array" aca="1" ref="CP6" ca="1">OFFSET($DG$4,1,MATCH($CN6,$DH$4:$DQ$4,0),HLOOKUP($CN6,$DH$4:$DQ$9,6,0),1)</f>
        <v>1</v>
      </c>
      <c r="CQ6" s="268" cm="1">
        <f t="array" aca="1" ref="CQ6" ca="1">OFFSET($DG$4,1,MATCH($CN7,$DH$4:$DQ$4,0),HLOOKUP($CN7,$DH$4:$DQ$9,6,0),1)</f>
        <v>2</v>
      </c>
      <c r="CR6" s="268" cm="1">
        <f t="array" aca="1" ref="CR6" ca="1">OFFSET($DG$4,1,MATCH($CN8,$DH$4:$DQ$4,0),HLOOKUP($CN8,$DH$4:$DQ$9,6,0),1)</f>
        <v>3</v>
      </c>
      <c r="CS6" s="268" cm="1">
        <f t="array" aca="1" ref="CS6" ca="1">OFFSET($DG$4,1,MATCH($CN9,$DH$4:$DQ$4,0),HLOOKUP($CN9,$DH$4:$DQ$9,6,0),1)</f>
        <v>4</v>
      </c>
      <c r="CW6" s="554">
        <v>1</v>
      </c>
      <c r="CX6" s="268">
        <v>1234</v>
      </c>
      <c r="CY6" s="268">
        <v>123</v>
      </c>
      <c r="CZ6" s="268">
        <v>12</v>
      </c>
      <c r="DA6" s="268">
        <v>12</v>
      </c>
      <c r="DB6" s="268">
        <v>1</v>
      </c>
      <c r="DC6" s="268">
        <v>1</v>
      </c>
      <c r="DD6" s="268">
        <v>1</v>
      </c>
      <c r="DE6" s="268">
        <v>1</v>
      </c>
      <c r="DH6" s="268">
        <v>2</v>
      </c>
      <c r="DI6" s="268">
        <v>2</v>
      </c>
      <c r="DJ6" s="268">
        <v>2</v>
      </c>
      <c r="DK6" s="268">
        <v>3</v>
      </c>
      <c r="DL6" s="268">
        <v>4</v>
      </c>
      <c r="DM6" s="268">
        <v>3</v>
      </c>
      <c r="EG6" s="295"/>
      <c r="EI6" s="295"/>
      <c r="EK6" s="295"/>
    </row>
    <row r="7" spans="1:141 5661:5661 8916:8916 13419:13419" ht="15.6" x14ac:dyDescent="0.3">
      <c r="A7" s="234" t="str">
        <f t="array" aca="1" ref="A7" ca="1">IF(ROWS(A$5:A7)&lt;=$C$4,INDEX(INDIRECT(A$4),SMALL(IF(Nivell=$B$4,ROW(Nivell)-ROW(Equipos!$C$2)+1),ROWS(B$4:B6))),"")</f>
        <v>Chile</v>
      </c>
      <c r="B7" s="235"/>
      <c r="C7" s="164"/>
      <c r="D7" s="150"/>
      <c r="E7" s="633"/>
      <c r="F7" s="14">
        <f>Horarios!C7</f>
        <v>45469.083333333336</v>
      </c>
      <c r="G7" s="15">
        <f>Horarios!C7</f>
        <v>45469.083333333336</v>
      </c>
      <c r="H7" s="14" t="str">
        <f>$H$6</f>
        <v>J2</v>
      </c>
      <c r="I7" s="16" t="str">
        <f ca="1">A7</f>
        <v>Chile</v>
      </c>
      <c r="J7" s="17" t="str">
        <f ca="1">VLOOKUP(I7,Equipos!$K$2:$L$21,2,0)</f>
        <v>🇨🇱</v>
      </c>
      <c r="K7" s="556"/>
      <c r="L7" s="556"/>
      <c r="M7" s="18" t="str">
        <f ca="1">VLOOKUP(N7,Equipos!$K$2:$L$21,2,0)</f>
        <v>🇦🇷</v>
      </c>
      <c r="N7" s="35" t="str">
        <f ca="1">A5</f>
        <v>Argentina</v>
      </c>
      <c r="O7" s="87">
        <f t="shared" si="1"/>
        <v>0</v>
      </c>
      <c r="P7" s="84"/>
      <c r="Q7" s="102">
        <v>2</v>
      </c>
      <c r="R7" s="3" t="str">
        <f ca="1">VLOOKUP(Q7,$AG$6:$AI$9,3,0)</f>
        <v>Perú</v>
      </c>
      <c r="S7" s="2">
        <f ca="1">VLOOKUP(R7,$AI$6:$AR$9,2,FALSE)</f>
        <v>0</v>
      </c>
      <c r="T7" s="2">
        <f ca="1">VLOOKUP($R7,$AI$6:$AR$9,3,FALSE)</f>
        <v>0</v>
      </c>
      <c r="U7" s="2">
        <f ca="1">VLOOKUP($R7,$AI$6:$AR$9,4,FALSE)</f>
        <v>0</v>
      </c>
      <c r="V7" s="2">
        <f ca="1">VLOOKUP($R7,$AI$6:$AR$9,5,FALSE)</f>
        <v>0</v>
      </c>
      <c r="W7" s="2">
        <f ca="1">VLOOKUP($R7,$AI$6:$AR$9,6,FALSE)</f>
        <v>0</v>
      </c>
      <c r="X7" s="2">
        <f ca="1">VLOOKUP($R7,$AI$6:$AR$9,7,FALSE)</f>
        <v>0</v>
      </c>
      <c r="Y7" s="2">
        <f ca="1">VLOOKUP($R7,$AI$6:$AR$9,8,FALSE)</f>
        <v>0</v>
      </c>
      <c r="Z7" s="103">
        <f ca="1">VLOOKUP($R7,$AI$6:$AR$9,9,FALSE)</f>
        <v>0</v>
      </c>
      <c r="AA7" s="75">
        <f ca="1">IF(SUM($AK$6:$AK$9)=12,MIN(ABS(BY6-BY7),ABS(BY7-BY8)),100)</f>
        <v>100</v>
      </c>
      <c r="AB7" s="94" t="str">
        <f ca="1">IF(AND(AA7&gt;=0,AA7&lt;90),VLOOKUP(Q7,$BU$6:$BV$9,2,0),"")</f>
        <v/>
      </c>
      <c r="AC7" s="74"/>
      <c r="AD7" s="75"/>
      <c r="AE7" s="75"/>
      <c r="AF7" s="293"/>
      <c r="AG7" s="268">
        <f ca="1">RANK(AU7,$AU$6:$AU$9)</f>
        <v>2</v>
      </c>
      <c r="AH7" s="268">
        <f ca="1">RANK(AR7,$AR$6:$AR$9)</f>
        <v>2</v>
      </c>
      <c r="AI7" s="268" t="str">
        <f ca="1">A6</f>
        <v>Perú</v>
      </c>
      <c r="AJ7" s="268">
        <f ca="1">AL7*3+AM7*1+AN7*0</f>
        <v>0</v>
      </c>
      <c r="AK7" s="268">
        <f ca="1">COUNTIFS($I$4:$I$33,AI7,$K$4:$K$33,"&lt;&gt;",$L$4:$L$33,"&lt;&gt;")+COUNTIFS($N$4:$N$33,AI7,$L$4:$L$33,"&lt;&gt;",$K$4:$K$33,"&lt;&gt;")</f>
        <v>0</v>
      </c>
      <c r="AL7" s="268">
        <f t="array" aca="1" ref="AL7" ca="1">SUM(($I$4:$I$33=AI7)*($K$4:$K$33&lt;&gt;"")*($L$4:$L$33&lt;&gt;"")*($K$4:$K$33&gt;$L$4:$L$33),($N$4:$N$33=AI7)*($K$4:$K$33&lt;&gt;"")*($L$4:$L$33&lt;&gt;"")*($K$4:$K$33&lt;$L$4:$L$33))</f>
        <v>0</v>
      </c>
      <c r="AM7" s="268">
        <f t="array" aca="1" ref="AM7" ca="1">SUM(($I$4:$I$33=AI7)*($K$4:$K$33&lt;&gt;"")*($L$4:$L$33&lt;&gt;"")*($K$4:$K$33=$L$4:$L$33),($N$4:$N$33=AI7)*($K$4:$K$33&lt;&gt;"")*($L$4:$L$33&lt;&gt;"")*($K$4:$K$33=$L$4:$L$33))</f>
        <v>0</v>
      </c>
      <c r="AN7" s="268">
        <f t="array" aca="1" ref="AN7" ca="1">SUM(($I$4:$I$33=AI7)*($L$4:$L$33&lt;&gt;"")*($K$4:$K$33&lt;&gt;"")*($K$4:$K$33&lt;$L$4:$L$33),($K$4:$K$33&lt;&gt;"")*($N$4:$N$33=AI7)*($L$4:$L$33&lt;&gt;"")*($K$4:$K$33&gt;$L$4:$L$33))</f>
        <v>0</v>
      </c>
      <c r="AO7" s="268">
        <f t="array" aca="1" ref="AO7" ca="1">SUMIFS($K$4:$K$33,$I$4:$I$33,AI7,$K$4:$K$33,"&lt;&gt;",$L$4:$L$33,"&lt;&gt;")+SUMIFS($L$4:$L$33,$N$4:$N$33,AI7,$K$4:$K$33,"&lt;&gt;",$L$4:$L$33,"&lt;&gt;")</f>
        <v>0</v>
      </c>
      <c r="AP7" s="268">
        <f t="array" aca="1" ref="AP7" ca="1">SUMIFS($K$4:$K$33,$N$4:$N$33,AI7,$K$4:$K$33,"&lt;&gt;",$L$4:$L$33,"&lt;&gt;")+SUMIFS($L$4:$L$33,$I$4:$I$33,AI7,$K$4:$K$33,"&lt;&gt;",$L$4:$L$33,"&lt;&gt;")</f>
        <v>0</v>
      </c>
      <c r="AQ7" s="268">
        <f ca="1">AO7-AP7</f>
        <v>0</v>
      </c>
      <c r="AR7" s="268">
        <f ca="1">IF(AK7=0,-($AW$10*VLOOKUP(AI7,Tabla3[[NombreEquipo]:[Rank]],3,FALSE)),AJ7*$AW$4+AQ7*$AW$5+AO7*$AW$6+BA7-($AW$10*VLOOKUP(AI7,Tabla3[[NombreEquipo]:[Rank]],3,FALSE)/100))</f>
        <v>-2</v>
      </c>
      <c r="AS7" s="268">
        <f ca="1">AH7</f>
        <v>2</v>
      </c>
      <c r="AU7" s="268">
        <f ca="1">IFERROR(AR7-VLOOKUP(AI7,$AB$6:$AC$9,2,0),AR7)</f>
        <v>-2</v>
      </c>
      <c r="AV7" s="268" t="s">
        <v>155</v>
      </c>
      <c r="AW7" s="294">
        <f>AW9*100</f>
        <v>100000</v>
      </c>
      <c r="AY7" s="297" t="str">
        <f ca="1">AI7</f>
        <v>Perú</v>
      </c>
      <c r="AZ7" s="268">
        <f ca="1">COUNTIF(AJ6:AJ9,AJ7)</f>
        <v>4</v>
      </c>
      <c r="BA7" s="268">
        <f ca="1">(BB7*$AW$9)+(BH7*$AW$8)+(BN7*$AW$7)</f>
        <v>111000</v>
      </c>
      <c r="BB7" s="295">
        <f ca="1">RANK(BC7,BC6:BC9,1)</f>
        <v>1</v>
      </c>
      <c r="BC7" s="295">
        <f ca="1">SUM(IF(AND(AJ7=AJ8,AQ7=AQ8,AO7=AO8),BF7,0),IF(AND(AJ7=AJ9,AQ7=AQ9,AO7=AO9),BG7,0),IF(AND(AJ7=AJ6,AQ7=AQ6,AO7=AO6),BD7,0))</f>
        <v>0</v>
      </c>
      <c r="BD7" s="295">
        <f t="array" aca="1" ref="BD7" ca="1">SUMIFS($K$4:$K$9,$I$4:$I$9,$AY7,$K$4:$K$9,"&lt;&gt;",$L$4:$L$9,"&lt;&gt;",$N$4:$N$9,BD5)+SUMIFS($L$4:$L$9,$I$4:$I$9,BD5,$K$4:$K$9,"&lt;&gt;",$L$4:$L$9,"&lt;&gt;",$N$4:$N$9,$AY7)</f>
        <v>0</v>
      </c>
      <c r="BE7" s="295">
        <v>0</v>
      </c>
      <c r="BF7" s="295">
        <f t="array" aca="1" ref="BF7" ca="1">SUMIFS($K$4:$K$9,$I$4:$I$9,$AY7,$K$4:$K$9,"&lt;&gt;",$L$4:$L$9,"&lt;&gt;",$N$4:$N$9,BF5)+SUMIFS($L$4:$L$9,$I$4:$I$9,BF5,$K$4:$K$9,"&lt;&gt;",$L$4:$L$9,"&lt;&gt;",$N$4:$N$9,$AY7)</f>
        <v>0</v>
      </c>
      <c r="BG7" s="295">
        <f t="array" aca="1" ref="BG7" ca="1">SUMIFS($K$4:$K$9,$I$4:$I$9,$AY7,$K$4:$K$9,"&lt;&gt;",$L$4:$L$9,"&lt;&gt;",$N$4:$N$9,BG5)+SUMIFS($L$4:$L$9,$I$4:$I$9,BG5,$K$4:$K$9,"&lt;&gt;",$L$4:$L$9,"&lt;&gt;",$N$4:$N$9,$AY7)</f>
        <v>0</v>
      </c>
      <c r="BH7" s="295">
        <f ca="1">RANK(BI7,BI6:BI9,1)</f>
        <v>1</v>
      </c>
      <c r="BI7" s="295">
        <f ca="1">SUM(IF(AND(AJ7=AJ8,AQ7=AQ8,AO7=AO8),BL7,0),IF(AND(AJ7=AJ9,AQ7=AQ9,AO7=AO9),BM7,0),IF(AND(AJ7=AJ6,AQ7=AQ6,AO7=AO6),BJ7,0))</f>
        <v>0</v>
      </c>
      <c r="BJ7" s="295">
        <f ca="1">BD7-BE6</f>
        <v>0</v>
      </c>
      <c r="BK7" s="295">
        <v>0</v>
      </c>
      <c r="BL7" s="295">
        <f ca="1">BF7-BE8</f>
        <v>0</v>
      </c>
      <c r="BM7" s="295">
        <f ca="1">BG7-BE9</f>
        <v>0</v>
      </c>
      <c r="BN7" s="295">
        <f ca="1">RANK(BO7,BO6:BO9,1)</f>
        <v>1</v>
      </c>
      <c r="BO7" s="295">
        <f ca="1">SUM(IF(AND(AJ7=AJ8,AQ7=AQ8,AO7=AO8),BR7,0),IF(AND(AJ7=AJ9,AQ7=AQ9,AO7=AO9),BS7,0),IF(AND(AJ7=AJ6,AQ7=AQ6,AO7=AO6),BP7,0))</f>
        <v>0</v>
      </c>
      <c r="BP7" s="295">
        <f t="array" aca="1" ref="BP7" ca="1">SUM((I$4:I$33=AY7)*(N$4:N$33=BP5)*(K$4:K$33&lt;&gt;"")*(L$4:L$33&lt;&gt;"")*(K$4:K$33&gt;L$4:L$33)*3,(N$4:N$33=AY7)*(I$4:I$33=BP5)*(K$4:K$33&lt;&gt;"")*(L$4:L$33&lt;&gt;"")*(K$4:K$33=L$4:L$33)*1,(N$4:N$33=AY7)*(I$4:I$33=BP5)*(K$4:K$33&lt;&gt;"")*(L$4:L$33&lt;&gt;"")*(K$4:K$33&lt;L$4:L$33)*3,(I$4:I$33=AY7)*(N$4:N$33=BP5)*(K$4:K$33&lt;&gt;"")*(L$4:L$33&lt;&gt;"")*(K$4:K$33=L$4:L$33)*1)</f>
        <v>0</v>
      </c>
      <c r="BQ7" s="295">
        <v>0</v>
      </c>
      <c r="BR7" s="295">
        <f t="array" aca="1" ref="BR7" ca="1">SUM((I$4:I$33=AY7)*(N$4:N$33=BR5)*(K$4:K$33&lt;&gt;"")*(L$4:L$33&lt;&gt;"")*(K$4:K$33&gt;L$4:L$33)*3,(N$4:N$33=AY7)*(I$4:I$33=BR5)*(K$4:K$33&lt;&gt;"")*(L$4:L$33&lt;&gt;"")*(K$4:K$33=L$4:L$33)*1,(N$4:N$33=AY7)*(I$4:I$33=BR5)*(K$4:K$33&lt;&gt;"")*(L$4:L$33&lt;&gt;"")*(K$4:K$33&lt;L$4:L$33)*3,(I$4:I$33=AY7)*(N$4:N$33=BR5)*(K$4:K$33&lt;&gt;"")*(L$4:L$33&lt;&gt;"")*(K$4:K$33=L$4:L$33)*1)</f>
        <v>0</v>
      </c>
      <c r="BS7" s="295">
        <f t="array" aca="1" ref="BS7" ca="1">SUM((I$4:I$33=AY7)*(N$4:N$33=BS5)*(K$4:K$33&lt;&gt;"")*(L$4:L$33&lt;&gt;"")*(K$4:K$33&gt;L$4:L$33)*3,(N$4:N$33=AY7)*(I$4:I$33=BS5)*(K$4:K$33&lt;&gt;"")*(L$4:L$33&lt;&gt;"")*(K$4:K$33=L$4:L$33)*1,(N$4:N$33=AY7)*(I$4:I$33=BS5)*(K$4:K$33&lt;&gt;"")*(L$4:L$33&lt;&gt;"")*(K$4:K$33&lt;L$4:L$33)*3,(I$4:I$33=AY7)*(N$4:N$33=BS5)*(K$4:K$33&lt;&gt;"")*(L$4:L$33&lt;&gt;"")*(K$4:K$33=L$4:L$33)*1)</f>
        <v>0</v>
      </c>
      <c r="BT7" s="268">
        <v>2</v>
      </c>
      <c r="BU7" s="268">
        <f ca="1">RANK(BW7,$BW$6:$BW$9)</f>
        <v>2</v>
      </c>
      <c r="BV7" s="268" t="str">
        <f ca="1">A6</f>
        <v>Perú</v>
      </c>
      <c r="BW7" s="268">
        <f ca="1">IF(AK7=0,-($AW$10*VLOOKUP(AI7,Tabla3[[NombreEquipo]:[Rank]],3,FALSE)),AJ7*$AW$4+AQ7*$AW$5+AO7*$AW$6+BA7-($AW$10*VLOOKUP(AI7,Tabla3[[NombreEquipo]:[Rank]],3,FALSE)/100))</f>
        <v>-2</v>
      </c>
      <c r="BX7" s="268" t="str">
        <f ca="1">VLOOKUP(Q7,$AH$6:$AI$9,2,0)</f>
        <v>Perú</v>
      </c>
      <c r="BY7" s="268">
        <f ca="1">VLOOKUP($BX7,$AI$6:$AR$9,10,FALSE)</f>
        <v>-2</v>
      </c>
      <c r="CC7" s="268">
        <f t="shared" ref="CC7:CC9" ca="1" si="2">RANK(CE7,$CE$6:$CE$9)</f>
        <v>2</v>
      </c>
      <c r="CD7" s="268" t="str">
        <f ca="1">A6</f>
        <v>Perú</v>
      </c>
      <c r="CE7" s="268">
        <f ca="1">IF(AK7=0,-($AW$10*VLOOKUP(AI7,Tabla3[[NombreEquipo]:[Rank]],3,FALSE)),AJ7*$AW$4+AQ7*$AW$5+AO7*$AW$6+BA7-($AW$10*VLOOKUP(AI7,Tabla3[[NombreEquipo]:[Rank]],3,FALSE)/100))</f>
        <v>-2</v>
      </c>
      <c r="CF7" s="268">
        <f ca="1">IF(AK7=0,-($AW$10*VLOOKUP(AI7,Tabla3[[NombreEquipo]:[Rank]],3,FALSE)),AJ7*$AW$4+AQ7*$AW$5+AO7*$AW$6+BA7)</f>
        <v>-2</v>
      </c>
      <c r="CG7" s="268">
        <v>2</v>
      </c>
      <c r="CH7" s="268" t="str">
        <f t="shared" ref="CH7:CH9" ca="1" si="3">VLOOKUP(CG7,$CC$6:$CD$9,2,0)</f>
        <v>Perú</v>
      </c>
      <c r="CI7" s="268">
        <f t="shared" ref="CI7:CI9" ca="1" si="4">VLOOKUP(CG7,$CC$6:$CF$9,4,0)</f>
        <v>-2</v>
      </c>
      <c r="CJ7" s="268">
        <f t="shared" ref="CJ7:CJ9" ca="1" si="5">COUNTIF($CI$6:$CI$9,CI7)</f>
        <v>1</v>
      </c>
      <c r="CM7" s="268">
        <v>2</v>
      </c>
      <c r="CN7" s="268">
        <f ca="1">HLOOKUP(CL6,$CX$4:$DE$9,4,0)</f>
        <v>2</v>
      </c>
      <c r="CW7" s="554">
        <v>2</v>
      </c>
      <c r="CX7" s="268">
        <v>1234</v>
      </c>
      <c r="CY7" s="268">
        <v>123</v>
      </c>
      <c r="CZ7" s="268">
        <v>12</v>
      </c>
      <c r="DA7" s="268">
        <v>12</v>
      </c>
      <c r="DB7" s="268">
        <v>234</v>
      </c>
      <c r="DC7" s="268">
        <v>23</v>
      </c>
      <c r="DD7" s="268">
        <v>2</v>
      </c>
      <c r="DE7" s="268">
        <v>2</v>
      </c>
      <c r="DH7" s="268">
        <v>3</v>
      </c>
      <c r="DI7" s="268">
        <v>3</v>
      </c>
      <c r="DK7" s="268">
        <v>4</v>
      </c>
      <c r="EG7" s="295"/>
      <c r="EI7" s="295"/>
      <c r="EK7" s="295"/>
    </row>
    <row r="8" spans="1:141 5661:5661 8916:8916 13419:13419" ht="15.6" x14ac:dyDescent="0.3">
      <c r="A8" s="234" t="str">
        <f t="array" aca="1" ref="A8" ca="1">IF(ROWS(A$5:A8)&lt;=$C$4,INDEX(INDIRECT(A$4),SMALL(IF(Nivell=$B$4,ROW(Nivell)-ROW(Equipos!$C$2)+1),ROWS(B$4:B7))),"")</f>
        <v>Canadá</v>
      </c>
      <c r="B8" s="235"/>
      <c r="C8" s="164"/>
      <c r="D8" s="150"/>
      <c r="E8" s="633"/>
      <c r="F8" s="14">
        <f>Horarios!C8</f>
        <v>45473.041666666672</v>
      </c>
      <c r="G8" s="15">
        <f>Horarios!C8</f>
        <v>45473.041666666672</v>
      </c>
      <c r="H8" s="14" t="str">
        <f>Idiomas!D56</f>
        <v>J3</v>
      </c>
      <c r="I8" s="16" t="str">
        <f ca="1">A5</f>
        <v>Argentina</v>
      </c>
      <c r="J8" s="17" t="str">
        <f ca="1">VLOOKUP(I8,Equipos!$K$2:$L$21,2,0)</f>
        <v>🇦🇷</v>
      </c>
      <c r="K8" s="556"/>
      <c r="L8" s="556"/>
      <c r="M8" s="18" t="str">
        <f ca="1">VLOOKUP(N8,Equipos!$K$2:$L$21,2,0)</f>
        <v>🇵🇪</v>
      </c>
      <c r="N8" s="35" t="str">
        <f ca="1">A6</f>
        <v>Perú</v>
      </c>
      <c r="O8" s="87">
        <f t="shared" si="1"/>
        <v>0</v>
      </c>
      <c r="P8" s="84"/>
      <c r="Q8" s="102">
        <v>3</v>
      </c>
      <c r="R8" s="3" t="str">
        <f ca="1">VLOOKUP(Q8,$AG$6:$AI$9,3,0)</f>
        <v>Chile</v>
      </c>
      <c r="S8" s="2">
        <f ca="1">VLOOKUP(R8,$AI$6:$AR$9,2,FALSE)</f>
        <v>0</v>
      </c>
      <c r="T8" s="2">
        <f ca="1">VLOOKUP($R8,$AI$6:$AR$9,3,FALSE)</f>
        <v>0</v>
      </c>
      <c r="U8" s="2">
        <f ca="1">VLOOKUP($R8,$AI$6:$AR$9,4,FALSE)</f>
        <v>0</v>
      </c>
      <c r="V8" s="2">
        <f ca="1">VLOOKUP($R8,$AI$6:$AR$9,5,FALSE)</f>
        <v>0</v>
      </c>
      <c r="W8" s="2">
        <f ca="1">VLOOKUP($R8,$AI$6:$AR$9,6,FALSE)</f>
        <v>0</v>
      </c>
      <c r="X8" s="2">
        <f ca="1">VLOOKUP($R8,$AI$6:$AR$9,7,FALSE)</f>
        <v>0</v>
      </c>
      <c r="Y8" s="2">
        <f ca="1">VLOOKUP($R8,$AI$6:$AR$9,8,FALSE)</f>
        <v>0</v>
      </c>
      <c r="Z8" s="103">
        <f ca="1">VLOOKUP($R8,$AI$6:$AR$9,9,FALSE)</f>
        <v>0</v>
      </c>
      <c r="AA8" s="75">
        <f ca="1">IF(SUM($AK$6:$AK$9)=12,MIN(ABS(BY7-BY8),ABS(BY8-BY9)),100)</f>
        <v>100</v>
      </c>
      <c r="AB8" s="94" t="str">
        <f ca="1">IF(AND(AA8&gt;=0,AA8&lt;90),VLOOKUP(Q8,$BU$6:$BV$9,2,0),"")</f>
        <v/>
      </c>
      <c r="AC8" s="74"/>
      <c r="AD8" s="75"/>
      <c r="AE8" s="75"/>
      <c r="AF8" s="293"/>
      <c r="AG8" s="268">
        <f ca="1">RANK(AU8,$AU$6:$AU$9)</f>
        <v>3</v>
      </c>
      <c r="AH8" s="268">
        <f ca="1">RANK(AR8,$AR$6:$AR$9)</f>
        <v>3</v>
      </c>
      <c r="AI8" s="268" t="str">
        <f ca="1">A7</f>
        <v>Chile</v>
      </c>
      <c r="AJ8" s="268">
        <f ca="1">AL8*3+AM8*1+AN8*0</f>
        <v>0</v>
      </c>
      <c r="AK8" s="268">
        <f ca="1">COUNTIFS($I$4:$I$33,AI8,$K$4:$K$33,"&lt;&gt;",$L$4:$L$33,"&lt;&gt;")+COUNTIFS($N$4:$N$33,AI8,$L$4:$L$33,"&lt;&gt;",$K$4:$K$33,"&lt;&gt;")</f>
        <v>0</v>
      </c>
      <c r="AL8" s="268">
        <f t="array" aca="1" ref="AL8" ca="1">SUM(($I$4:$I$33=AI8)*($K$4:$K$33&lt;&gt;"")*($L$4:$L$33&lt;&gt;"")*($K$4:$K$33&gt;$L$4:$L$33),($N$4:$N$33=AI8)*($K$4:$K$33&lt;&gt;"")*($L$4:$L$33&lt;&gt;"")*($K$4:$K$33&lt;$L$4:$L$33))</f>
        <v>0</v>
      </c>
      <c r="AM8" s="268">
        <f t="array" aca="1" ref="AM8" ca="1">SUM(($I$4:$I$33=AI8)*($K$4:$K$33&lt;&gt;"")*($L$4:$L$33&lt;&gt;"")*($K$4:$K$33=$L$4:$L$33),($N$4:$N$33=AI8)*($K$4:$K$33&lt;&gt;"")*($L$4:$L$33&lt;&gt;"")*($K$4:$K$33=$L$4:$L$33))</f>
        <v>0</v>
      </c>
      <c r="AN8" s="268">
        <f t="array" aca="1" ref="AN8" ca="1">SUM(($I$4:$I$33=AI8)*($L$4:$L$33&lt;&gt;"")*($K$4:$K$33&lt;&gt;"")*($K$4:$K$33&lt;$L$4:$L$33),($K$4:$K$33&lt;&gt;"")*($N$4:$N$33=AI8)*($L$4:$L$33&lt;&gt;"")*($K$4:$K$33&gt;$L$4:$L$33))</f>
        <v>0</v>
      </c>
      <c r="AO8" s="268">
        <f t="array" aca="1" ref="AO8" ca="1">SUMIFS($K$4:$K$33,$I$4:$I$33,AI8,$K$4:$K$33,"&lt;&gt;",$L$4:$L$33,"&lt;&gt;")+SUMIFS($L$4:$L$33,$N$4:$N$33,AI8,$K$4:$K$33,"&lt;&gt;",$L$4:$L$33,"&lt;&gt;")</f>
        <v>0</v>
      </c>
      <c r="AP8" s="268">
        <f t="array" aca="1" ref="AP8" ca="1">SUMIFS($K$4:$K$33,$N$4:$N$33,AI8,$K$4:$K$33,"&lt;&gt;",$L$4:$L$33,"&lt;&gt;")+SUMIFS($L$4:$L$33,$I$4:$I$33,AI8,$K$4:$K$33,"&lt;&gt;",$L$4:$L$33,"&lt;&gt;")</f>
        <v>0</v>
      </c>
      <c r="AQ8" s="268">
        <f ca="1">AO8-AP8</f>
        <v>0</v>
      </c>
      <c r="AR8" s="268">
        <f ca="1">IF(AK8=0,-($AW$10*VLOOKUP(AI8,Tabla3[[NombreEquipo]:[Rank]],3,FALSE)),AJ8*$AW$4+AQ8*$AW$5+AO8*$AW$6+BA8-($AW$10*VLOOKUP(AI8,Tabla3[[NombreEquipo]:[Rank]],3,FALSE)/100))</f>
        <v>-3</v>
      </c>
      <c r="AS8" s="268">
        <f ca="1">AH8</f>
        <v>3</v>
      </c>
      <c r="AU8" s="268">
        <f ca="1">IFERROR(AR8-VLOOKUP(AI8,$AB$6:$AC$9,2,0),AR8)</f>
        <v>-3</v>
      </c>
      <c r="AV8" s="268" t="s">
        <v>156</v>
      </c>
      <c r="AW8" s="294">
        <f>AW9*10</f>
        <v>10000</v>
      </c>
      <c r="AY8" s="297" t="str">
        <f ca="1">AI8</f>
        <v>Chile</v>
      </c>
      <c r="AZ8" s="268">
        <f ca="1">COUNTIF(AJ6:AJ9,AJ8)</f>
        <v>4</v>
      </c>
      <c r="BA8" s="268">
        <f ca="1">(BB8*$AW$9)+(BH8*$AW$8)+(BN8*$AW$7)</f>
        <v>111000</v>
      </c>
      <c r="BB8" s="295">
        <f ca="1">RANK(BC8,BC6:BC9,1)</f>
        <v>1</v>
      </c>
      <c r="BC8" s="295">
        <f ca="1">SUM(IF(AND(AJ8=AJ9,AQ8=AQ9,AO8=AO9),BG8,0),IF(AND(AJ8=AJ6,AQ8=AQ6,AO8=AO6),BD8,0),IF(AND(AJ8=AJ7,AQ8=AQ7,AO8=AO7),BE8,0))</f>
        <v>0</v>
      </c>
      <c r="BD8" s="295">
        <f t="array" aca="1" ref="BD8" ca="1">SUMIFS($K$4:$K$9,$I$4:$I$9,$AY8,$K$4:$K$9,"&lt;&gt;",$L$4:$L$9,"&lt;&gt;",$N$4:$N$9,BD5)+SUMIFS($L$4:$L$9,$I$4:$I$9,BD5,$K$4:$K$9,"&lt;&gt;",$L$4:$L$9,"&lt;&gt;",$N$4:$N$9,$AY8)</f>
        <v>0</v>
      </c>
      <c r="BE8" s="295">
        <f t="array" aca="1" ref="BE8" ca="1">SUMIFS($K$4:$K$9,$I$4:$I$9,$AY8,$K$4:$K$9,"&lt;&gt;",$L$4:$L$9,"&lt;&gt;",$N$4:$N$9,BE5)+SUMIFS($L$4:$L$9,$I$4:$I$9,BE5,$K$4:$K$9,"&lt;&gt;",$L$4:$L$9,"&lt;&gt;",$N$4:$N$9,$AY8)</f>
        <v>0</v>
      </c>
      <c r="BF8" s="295">
        <v>0</v>
      </c>
      <c r="BG8" s="295">
        <f t="array" aca="1" ref="BG8" ca="1">SUMIFS($K$4:$K$9,$I$4:$I$9,$AY8,$K$4:$K$9,"&lt;&gt;",$L$4:$L$9,"&lt;&gt;",$N$4:$N$9,BG5)+SUMIFS($L$4:$L$9,$I$4:$I$9,BG5,$K$4:$K$9,"&lt;&gt;",$L$4:$L$9,"&lt;&gt;",$N$4:$N$9,$AY8)</f>
        <v>0</v>
      </c>
      <c r="BH8" s="295">
        <f ca="1">RANK(BI8,BI6:BI9,1)</f>
        <v>1</v>
      </c>
      <c r="BI8" s="295">
        <f ca="1">SUM(IF(AND(AJ8=AJ9,AQ8=AQ9,AO8=AO9),BM8,0),IF(AND(AJ8=AJ6,AQ8=AQ6,AO8=AO6),BJ8,0),IF(AND(AJ8=AJ7,AQ8=AQ7,AO8=AO7),BK8,0))</f>
        <v>0</v>
      </c>
      <c r="BJ8" s="295">
        <f ca="1">BD8-BF6</f>
        <v>0</v>
      </c>
      <c r="BK8" s="295">
        <f ca="1">BE8-BF7</f>
        <v>0</v>
      </c>
      <c r="BL8" s="295">
        <v>0</v>
      </c>
      <c r="BM8" s="295">
        <f ca="1">BG8-BF9</f>
        <v>0</v>
      </c>
      <c r="BN8" s="295">
        <f ca="1">RANK(BO8,BO6:BO9,1)</f>
        <v>1</v>
      </c>
      <c r="BO8" s="295">
        <f ca="1">SUM(IF(AND(AJ8=AJ9,AQ8=AQ9,AO8=AO9),BS8,0),IF(AND(AJ8=AJ6,AQ8=AQ6,AO8=AO6),BP8,0),IF(AND(AJ8=AJ7,AQ8=AQ7,AO8=AO7),BQ8,0))</f>
        <v>0</v>
      </c>
      <c r="BP8" s="295">
        <f t="array" aca="1" ref="BP8" ca="1">SUM((I$4:I$33=AY8)*(N$4:N$33=BP5)*(K$4:K$33&lt;&gt;"")*(L$4:L$33&lt;&gt;"")*(K$4:K$33&gt;L$4:L$33)*3,(N$4:N$33=AY8)*(I$4:I$33=BP5)*(K$4:K$33&lt;&gt;"")*(L$4:L$33&lt;&gt;"")*(K$4:K$33=L$4:L$33)*1,(N$4:N$33=AY8)*(I$4:I$33=BP5)*(K$4:K$33&lt;&gt;"")*(L$4:L$33&lt;&gt;"")*(K$4:K$33&lt;L$4:L$33)*3,(I$4:I$33=AY8)*(N$4:N$33=BP5)*(K$4:K$33&lt;&gt;"")*(L$4:L$33&lt;&gt;"")*(K$4:K$33=L$4:L$33)*1)</f>
        <v>0</v>
      </c>
      <c r="BQ8" s="295">
        <f t="array" aca="1" ref="BQ8" ca="1">SUM((I$4:I$33=AY8)*(N$4:N$33=BQ5)*(K$4:K$33&lt;&gt;"")*(L$4:L$33&lt;&gt;"")*(K$4:K$33&gt;L$4:L$33)*3,(N$4:N$33=AY8)*(I$4:I$33=BQ5)*(K$4:K$33&lt;&gt;"")*(L$4:L$33&lt;&gt;"")*(K$4:K$33=L$4:L$33)*1,(N$4:N$33=AY8)*(I$4:I$33=BQ5)*(K$4:K$33&lt;&gt;"")*(L$4:L$33&lt;&gt;"")*(K$4:K$33&lt;L$4:L$33)*3,(I$4:I$33=AY8)*(N$4:N$33=BQ5)*(K$4:K$33&lt;&gt;"")*(L$4:L$33&lt;&gt;"")*(K$4:K$33=L$4:L$33)*1)</f>
        <v>0</v>
      </c>
      <c r="BR8" s="295">
        <v>0</v>
      </c>
      <c r="BS8" s="295">
        <f t="array" aca="1" ref="BS8" ca="1">SUM((I$4:I$33=AY8)*(N$4:N$33=BS5)*(K$4:K$33&lt;&gt;"")*(L$4:L$33&lt;&gt;"")*(K$4:K$33&gt;L$4:L$33)*3,(N$4:N$33=AY8)*(I$4:I$33=BS5)*(K$4:K$33&lt;&gt;"")*(L$4:L$33&lt;&gt;"")*(K$4:K$33=L$4:L$33)*1,(N$4:N$33=AY8)*(I$4:I$33=BS5)*(K$4:K$33&lt;&gt;"")*(L$4:L$33&lt;&gt;"")*(K$4:K$33&lt;L$4:L$33)*3,(I$4:I$33=AY8)*(N$4:N$33=BS5)*(K$4:K$33&lt;&gt;"")*(L$4:L$33&lt;&gt;"")*(K$4:K$33=L$4:L$33)*1)</f>
        <v>0</v>
      </c>
      <c r="BT8" s="268">
        <v>3</v>
      </c>
      <c r="BU8" s="268">
        <f ca="1">RANK(BW8,$BW$6:$BW$9)</f>
        <v>3</v>
      </c>
      <c r="BV8" s="268" t="str">
        <f ca="1">A7</f>
        <v>Chile</v>
      </c>
      <c r="BW8" s="268">
        <f ca="1">IF(AK8=0,-($AW$10*VLOOKUP(AI8,Tabla3[[NombreEquipo]:[Rank]],3,FALSE)),AJ8*$AW$4+AQ8*$AW$5+AO8*$AW$6+BA8-($AW$10*VLOOKUP(AI8,Tabla3[[NombreEquipo]:[Rank]],3,FALSE)/100))</f>
        <v>-3</v>
      </c>
      <c r="BX8" s="268" t="str">
        <f ca="1">VLOOKUP(Q8,$AH$6:$AI$9,2,0)</f>
        <v>Chile</v>
      </c>
      <c r="BY8" s="268">
        <f ca="1">VLOOKUP($BX8,$AI$6:$AR$9,10,FALSE)</f>
        <v>-3</v>
      </c>
      <c r="CC8" s="268">
        <f t="shared" ca="1" si="2"/>
        <v>3</v>
      </c>
      <c r="CD8" s="268" t="str">
        <f ca="1">A7</f>
        <v>Chile</v>
      </c>
      <c r="CE8" s="268">
        <f ca="1">IF(AK8=0,-($AW$10*VLOOKUP(AI8,Tabla3[[NombreEquipo]:[Rank]],3,FALSE)),AJ8*$AW$4+AQ8*$AW$5+AO8*$AW$6+BA8-($AW$10*VLOOKUP(AI8,Tabla3[[NombreEquipo]:[Rank]],3,FALSE)/100))</f>
        <v>-3</v>
      </c>
      <c r="CF8" s="268">
        <f ca="1">IF(AK8=0,-($AW$10*VLOOKUP(AI8,Tabla3[[NombreEquipo]:[Rank]],3,FALSE)),AJ8*$AW$4+AQ8*$AW$5+AO8*$AW$6+BA8)</f>
        <v>-3</v>
      </c>
      <c r="CG8" s="268">
        <v>3</v>
      </c>
      <c r="CH8" s="268" t="str">
        <f t="shared" ca="1" si="3"/>
        <v>Chile</v>
      </c>
      <c r="CI8" s="268">
        <f t="shared" ca="1" si="4"/>
        <v>-3</v>
      </c>
      <c r="CJ8" s="268">
        <f t="shared" ca="1" si="5"/>
        <v>1</v>
      </c>
      <c r="CM8" s="268">
        <v>3</v>
      </c>
      <c r="CN8" s="268">
        <f ca="1">HLOOKUP(CL6,$CX$4:$DE$9,5,0)</f>
        <v>3</v>
      </c>
      <c r="CW8" s="554">
        <v>3</v>
      </c>
      <c r="CX8" s="268">
        <v>1234</v>
      </c>
      <c r="CY8" s="268">
        <v>123</v>
      </c>
      <c r="CZ8" s="268">
        <v>34</v>
      </c>
      <c r="DA8" s="268">
        <v>3</v>
      </c>
      <c r="DB8" s="268">
        <v>234</v>
      </c>
      <c r="DC8" s="268">
        <v>23</v>
      </c>
      <c r="DD8" s="268">
        <v>34</v>
      </c>
      <c r="DE8" s="268">
        <v>3</v>
      </c>
      <c r="DH8" s="268">
        <v>4</v>
      </c>
      <c r="EG8" s="295"/>
      <c r="EI8" s="295"/>
      <c r="EK8" s="295"/>
    </row>
    <row r="9" spans="1:141 5661:5661 8916:8916 13419:13419" ht="16.2" thickBot="1" x14ac:dyDescent="0.35">
      <c r="A9" s="162"/>
      <c r="B9" s="235"/>
      <c r="C9" s="162"/>
      <c r="D9" s="150"/>
      <c r="E9" s="634"/>
      <c r="F9" s="36">
        <f>Horarios!C9</f>
        <v>45473.041666666672</v>
      </c>
      <c r="G9" s="37">
        <f>Horarios!C9</f>
        <v>45473.041666666672</v>
      </c>
      <c r="H9" s="36" t="str">
        <f>$H$8</f>
        <v>J3</v>
      </c>
      <c r="I9" s="38" t="str">
        <f ca="1">A8</f>
        <v>Canadá</v>
      </c>
      <c r="J9" s="39" t="str">
        <f ca="1">VLOOKUP(I9,Equipos!$K$2:$L$21,2,0)</f>
        <v>🇨🇦</v>
      </c>
      <c r="K9" s="557"/>
      <c r="L9" s="557"/>
      <c r="M9" s="40" t="str">
        <f ca="1">VLOOKUP(N9,Equipos!$K$2:$L$21,2,0)</f>
        <v>🇨🇱</v>
      </c>
      <c r="N9" s="41" t="str">
        <f ca="1">A7</f>
        <v>Chile</v>
      </c>
      <c r="O9" s="87">
        <f t="shared" si="1"/>
        <v>0</v>
      </c>
      <c r="P9" s="84"/>
      <c r="Q9" s="104">
        <v>4</v>
      </c>
      <c r="R9" s="105" t="str">
        <f ca="1">VLOOKUP(Q9,$AG$6:$AI$9,3,0)</f>
        <v>Canadá</v>
      </c>
      <c r="S9" s="106">
        <f ca="1">VLOOKUP(R9,$AI$6:$AR$9,2,FALSE)</f>
        <v>0</v>
      </c>
      <c r="T9" s="106">
        <f ca="1">VLOOKUP($R9,$AI$6:$AR$9,3,FALSE)</f>
        <v>0</v>
      </c>
      <c r="U9" s="106">
        <f ca="1">VLOOKUP($R9,$AI$6:$AR$9,4,FALSE)</f>
        <v>0</v>
      </c>
      <c r="V9" s="106">
        <f ca="1">VLOOKUP($R9,$AI$6:$AR$9,5,FALSE)</f>
        <v>0</v>
      </c>
      <c r="W9" s="106">
        <f ca="1">VLOOKUP($R9,$AI$6:$AR$9,6,FALSE)</f>
        <v>0</v>
      </c>
      <c r="X9" s="106">
        <f ca="1">VLOOKUP($R9,$AI$6:$AR$9,7,FALSE)</f>
        <v>0</v>
      </c>
      <c r="Y9" s="106">
        <f ca="1">VLOOKUP($R9,$AI$6:$AR$9,8,FALSE)</f>
        <v>0</v>
      </c>
      <c r="Z9" s="107">
        <f ca="1">VLOOKUP($R9,$AI$6:$AR$9,9,FALSE)</f>
        <v>0</v>
      </c>
      <c r="AA9" s="75">
        <f ca="1">IF(SUM($AK$6:$AK$9)=12,MIN(ABS(BY8-BY9),ABS(BY9-BY10)),100)</f>
        <v>100</v>
      </c>
      <c r="AB9" s="94" t="str">
        <f ca="1">IF(AND(AA9&gt;=0,AA9&lt;90),VLOOKUP(Q9,$BU$6:$BV$9,2,0),"")</f>
        <v/>
      </c>
      <c r="AC9" s="74"/>
      <c r="AD9" s="75"/>
      <c r="AE9" s="75"/>
      <c r="AF9" s="293"/>
      <c r="AG9" s="268">
        <f ca="1">RANK(AU9,$AU$6:$AU$9)</f>
        <v>4</v>
      </c>
      <c r="AH9" s="268">
        <f ca="1">RANK(AR9,$AR$6:$AR$9)</f>
        <v>4</v>
      </c>
      <c r="AI9" s="268" t="str">
        <f ca="1">A8</f>
        <v>Canadá</v>
      </c>
      <c r="AJ9" s="268">
        <f ca="1">AL9*3+AM9*1+AN9*0</f>
        <v>0</v>
      </c>
      <c r="AK9" s="268">
        <f ca="1">COUNTIFS($I$4:$I$33,AI9,$K$4:$K$33,"&lt;&gt;",$L$4:$L$33,"&lt;&gt;")+COUNTIFS($N$4:$N$33,AI9,$L$4:$L$33,"&lt;&gt;",$K$4:$K$33,"&lt;&gt;")</f>
        <v>0</v>
      </c>
      <c r="AL9" s="268">
        <f t="array" aca="1" ref="AL9" ca="1">SUM(($I$4:$I$33=AI9)*($K$4:$K$33&lt;&gt;"")*($L$4:$L$33&lt;&gt;"")*($K$4:$K$33&gt;$L$4:$L$33),($N$4:$N$33=AI9)*($K$4:$K$33&lt;&gt;"")*($L$4:$L$33&lt;&gt;"")*($K$4:$K$33&lt;$L$4:$L$33))</f>
        <v>0</v>
      </c>
      <c r="AM9" s="268">
        <f t="array" aca="1" ref="AM9" ca="1">SUM(($I$4:$I$33=AI9)*($K$4:$K$33&lt;&gt;"")*($L$4:$L$33&lt;&gt;"")*($K$4:$K$33=$L$4:$L$33),($N$4:$N$33=AI9)*($K$4:$K$33&lt;&gt;"")*($L$4:$L$33&lt;&gt;"")*($K$4:$K$33=$L$4:$L$33))</f>
        <v>0</v>
      </c>
      <c r="AN9" s="268">
        <f t="array" aca="1" ref="AN9" ca="1">SUM(($I$4:$I$33=AI9)*($L$4:$L$33&lt;&gt;"")*($K$4:$K$33&lt;&gt;"")*($K$4:$K$33&lt;$L$4:$L$33),($K$4:$K$33&lt;&gt;"")*($N$4:$N$33=AI9)*($L$4:$L$33&lt;&gt;"")*($K$4:$K$33&gt;$L$4:$L$33))</f>
        <v>0</v>
      </c>
      <c r="AO9" s="268">
        <f t="array" aca="1" ref="AO9" ca="1">SUMIFS($K$4:$K$33,$I$4:$I$33,AI9,$K$4:$K$33,"&lt;&gt;",$L$4:$L$33,"&lt;&gt;")+SUMIFS($L$4:$L$33,$N$4:$N$33,AI9,$K$4:$K$33,"&lt;&gt;",$L$4:$L$33,"&lt;&gt;")</f>
        <v>0</v>
      </c>
      <c r="AP9" s="268">
        <f t="array" aca="1" ref="AP9" ca="1">SUMIFS($K$4:$K$33,$N$4:$N$33,AI9,$K$4:$K$33,"&lt;&gt;",$L$4:$L$33,"&lt;&gt;")+SUMIFS($L$4:$L$33,$I$4:$I$33,AI9,$K$4:$K$33,"&lt;&gt;",$L$4:$L$33,"&lt;&gt;")</f>
        <v>0</v>
      </c>
      <c r="AQ9" s="268">
        <f ca="1">AO9-AP9</f>
        <v>0</v>
      </c>
      <c r="AR9" s="268">
        <f ca="1">IF(AK9=0,-($AW$10*VLOOKUP(AI9,Tabla3[[NombreEquipo]:[Rank]],3,FALSE)),AJ9*$AW$4+AQ9*$AW$5+AO9*$AW$6+BA9-($AW$10*VLOOKUP(AI9,Tabla3[[NombreEquipo]:[Rank]],3,FALSE)/100))</f>
        <v>-4</v>
      </c>
      <c r="AS9" s="268">
        <f ca="1">AH9</f>
        <v>4</v>
      </c>
      <c r="AU9" s="268">
        <f ca="1">IFERROR(AR9-VLOOKUP(AI9,$AB$6:$AC$9,2,0),AR9)</f>
        <v>-4</v>
      </c>
      <c r="AV9" s="268" t="s">
        <v>157</v>
      </c>
      <c r="AW9" s="294">
        <f>AW10*1000</f>
        <v>1000</v>
      </c>
      <c r="AY9" s="297" t="str">
        <f ca="1">AI9</f>
        <v>Canadá</v>
      </c>
      <c r="AZ9" s="268">
        <f ca="1">COUNTIF(AJ6:AJ9,AJ9)</f>
        <v>4</v>
      </c>
      <c r="BA9" s="268">
        <f ca="1">(BB9*$AW$9)+(BH9*$AW$8)+(BN9*$AW$7)</f>
        <v>111000</v>
      </c>
      <c r="BB9" s="295">
        <f ca="1">RANK(BC9,BC6:BC9,1)</f>
        <v>1</v>
      </c>
      <c r="BC9" s="295">
        <f ca="1">SUM(IF(AND(AJ9=AJ6,AQ9=AQ6,AO9=AO6),BD9,0),IF(AND(AJ9=AJ7,AQ9=AQ7,AO9=AO7),BE9,0),IF(AND(AJ9=AJ8,AQ9=AQ8,AO9=AO8),BF9,0))</f>
        <v>0</v>
      </c>
      <c r="BD9" s="295">
        <f t="array" aca="1" ref="BD9" ca="1">SUMIFS($K$4:$K$9,$I$4:$I$9,$AY9,$K$4:$K$9,"&lt;&gt;",$L$4:$L$9,"&lt;&gt;",$N$4:$N$9,BD5)+SUMIFS($L$4:$L$9,$I$4:$I$9,BD5,$K$4:$K$9,"&lt;&gt;",$L$4:$L$9,"&lt;&gt;",$N$4:$N$9,$AY9)</f>
        <v>0</v>
      </c>
      <c r="BE9" s="295">
        <f t="array" aca="1" ref="BE9" ca="1">SUMIFS($K$4:$K$9,$I$4:$I$9,$AY9,$K$4:$K$9,"&lt;&gt;",$L$4:$L$9,"&lt;&gt;",$N$4:$N$9,BE5)+SUMIFS($L$4:$L$9,$I$4:$I$9,BE5,$K$4:$K$9,"&lt;&gt;",$L$4:$L$9,"&lt;&gt;",$N$4:$N$9,$AY9)</f>
        <v>0</v>
      </c>
      <c r="BF9" s="295">
        <f t="array" aca="1" ref="BF9" ca="1">SUMIFS($K$4:$K$9,$I$4:$I$9,$AY9,$K$4:$K$9,"&lt;&gt;",$L$4:$L$9,"&lt;&gt;",$N$4:$N$9,BF5)+SUMIFS($L$4:$L$9,$I$4:$I$9,BF5,$K$4:$K$9,"&lt;&gt;",$L$4:$L$9,"&lt;&gt;",$N$4:$N$9,$AY9)</f>
        <v>0</v>
      </c>
      <c r="BG9" s="295">
        <v>0</v>
      </c>
      <c r="BH9" s="295">
        <f ca="1">RANK(BI9,BI6:BI9,1)</f>
        <v>1</v>
      </c>
      <c r="BI9" s="295">
        <f ca="1">SUM(IF(AND(AJ9=AJ6,AQ9=AQ6,AO9=AO6),BJ9,0),IF(AND(AJ9=AJ7,AQ9=AQ7,AO9=AO7),BK9,0),IF(AND(AJ9=AJ8,AQ9=AQ8,AO9=AO8),BL9,0))</f>
        <v>0</v>
      </c>
      <c r="BJ9" s="295">
        <f ca="1">BD9-BG6</f>
        <v>0</v>
      </c>
      <c r="BK9" s="295">
        <f ca="1">BE9-BG7</f>
        <v>0</v>
      </c>
      <c r="BL9" s="295">
        <f ca="1">BF9-BG8</f>
        <v>0</v>
      </c>
      <c r="BM9" s="295">
        <v>0</v>
      </c>
      <c r="BN9" s="295">
        <f ca="1">RANK(BO9,BO6:BO9,1)</f>
        <v>1</v>
      </c>
      <c r="BO9" s="295">
        <f ca="1">SUM(IF(AND(AJ9=AJ6,AQ9=AQ6,AO9=AO6),BP9,0),IF(AND(AJ9=AJ7,AQ9=AQ7,AO9=AO7),BQ9,0),IF(AND(AJ9=AJ8,AQ9=AQ8,AO9=AO8),BR9,0))</f>
        <v>0</v>
      </c>
      <c r="BP9" s="295">
        <f t="array" aca="1" ref="BP9" ca="1">SUM((I$4:I$33=AY9)*(N$4:N$33=BP5)*(K$4:K$33&lt;&gt;"")*(L$4:L$33&lt;&gt;"")*(K$4:K$33&gt;L$4:L$33)*3,(N$4:N$33=AY9)*(I$4:I$33=BP5)*(K$4:K$33&lt;&gt;"")*(L$4:L$33&lt;&gt;"")*(K$4:K$33=L$4:L$33)*1,(N$4:N$33=AY9)*(I$4:I$33=BP5)*(K$4:K$33&lt;&gt;"")*(L$4:L$33&lt;&gt;"")*(K$4:K$33&lt;L$4:L$33)*3,(I$4:I$33=AY9)*(N$4:N$33=BP5)*(K$4:K$33&lt;&gt;"")*(L$4:L$33&lt;&gt;"")*(K$4:K$33=L$4:L$33)*1)</f>
        <v>0</v>
      </c>
      <c r="BQ9" s="295">
        <f t="array" aca="1" ref="BQ9" ca="1">SUM((I$4:I$33=AY9)*(N$4:N$33=BQ5)*(K$4:K$33&lt;&gt;"")*(L$4:L$33&lt;&gt;"")*(K$4:K$33&gt;L$4:L$33)*3,(N$4:N$33=AY9)*(I$4:I$33=BQ5)*(K$4:K$33&lt;&gt;"")*(L$4:L$33&lt;&gt;"")*(K$4:K$33=L$4:L$33)*1,(N$4:N$33=AY9)*(I$4:I$33=BQ5)*(K$4:K$33&lt;&gt;"")*(L$4:L$33&lt;&gt;"")*(K$4:K$33&lt;L$4:L$33)*3,(I$4:I$33=AY9)*(N$4:N$33=BQ5)*(K$4:K$33&lt;&gt;"")*(L$4:L$33&lt;&gt;"")*(K$4:K$33=L$4:L$33)*1)</f>
        <v>0</v>
      </c>
      <c r="BR9" s="295">
        <f t="array" aca="1" ref="BR9" ca="1">SUM((I$4:I$33=AY9)*(N$4:N$33=BR5)*(K$4:K$33&lt;&gt;"")*(L$4:L$33&lt;&gt;"")*(K$4:K$33&gt;L$4:L$33)*3,(N$4:N$33=AY9)*(I$4:I$33=BR5)*(K$4:K$33&lt;&gt;"")*(L$4:L$33&lt;&gt;"")*(K$4:K$33=L$4:L$33)*1,(N$4:N$33=AY9)*(I$4:I$33=BR5)*(K$4:K$33&lt;&gt;"")*(L$4:L$33&lt;&gt;"")*(K$4:K$33&lt;L$4:L$33)*3,(I$4:I$33=AY9)*(N$4:N$33=BR5)*(K$4:K$33&lt;&gt;"")*(L$4:L$33&lt;&gt;"")*(K$4:K$33=L$4:L$33)*1)</f>
        <v>0</v>
      </c>
      <c r="BS9" s="295">
        <v>0</v>
      </c>
      <c r="BT9" s="268">
        <v>4</v>
      </c>
      <c r="BU9" s="268">
        <f ca="1">RANK(BW9,$BW$6:$BW$9)</f>
        <v>4</v>
      </c>
      <c r="BV9" s="268" t="str">
        <f ca="1">A8</f>
        <v>Canadá</v>
      </c>
      <c r="BW9" s="268">
        <f ca="1">IF(AK9=0,-($AW$10*VLOOKUP(AI9,Tabla3[[NombreEquipo]:[Rank]],3,FALSE)),AJ9*$AW$4+AQ9*$AW$5+AO9*$AW$6+BA9-($AW$10*VLOOKUP(AI9,Tabla3[[NombreEquipo]:[Rank]],3,FALSE)/100))</f>
        <v>-4</v>
      </c>
      <c r="BX9" s="268" t="str">
        <f ca="1">VLOOKUP(Q9,$AH$6:$AI$9,2,0)</f>
        <v>Canadá</v>
      </c>
      <c r="BY9" s="268">
        <f ca="1">VLOOKUP($BX9,$AI$6:$AR$9,10,FALSE)</f>
        <v>-4</v>
      </c>
      <c r="CC9" s="268">
        <f t="shared" ca="1" si="2"/>
        <v>4</v>
      </c>
      <c r="CD9" s="268" t="str">
        <f ca="1">A8</f>
        <v>Canadá</v>
      </c>
      <c r="CE9" s="268">
        <f ca="1">IF(AK9=0,-($AW$10*VLOOKUP(AI9,Tabla3[[NombreEquipo]:[Rank]],3,FALSE)),AJ9*$AW$4+AQ9*$AW$5+AO9*$AW$6+BA9-($AW$10*VLOOKUP(AI9,Tabla3[[NombreEquipo]:[Rank]],3,FALSE)/100))</f>
        <v>-4</v>
      </c>
      <c r="CF9" s="268">
        <f ca="1">IF(AK9=0,-($AW$10*VLOOKUP(AI9,Tabla3[[NombreEquipo]:[Rank]],3,FALSE)),AJ9*$AW$4+AQ9*$AW$5+AO9*$AW$6+BA9)</f>
        <v>-4</v>
      </c>
      <c r="CG9" s="268">
        <v>4</v>
      </c>
      <c r="CH9" s="268" t="str">
        <f t="shared" ca="1" si="3"/>
        <v>Canadá</v>
      </c>
      <c r="CI9" s="268">
        <f t="shared" ca="1" si="4"/>
        <v>-4</v>
      </c>
      <c r="CJ9" s="268">
        <f t="shared" ca="1" si="5"/>
        <v>1</v>
      </c>
      <c r="CM9" s="268">
        <v>4</v>
      </c>
      <c r="CN9" s="268">
        <f ca="1">HLOOKUP(CL6,$CX$4:$DE$9,6,0)</f>
        <v>4</v>
      </c>
      <c r="CW9" s="554">
        <v>4</v>
      </c>
      <c r="CX9" s="268">
        <v>1234</v>
      </c>
      <c r="CY9" s="268">
        <v>4</v>
      </c>
      <c r="CZ9" s="268">
        <v>34</v>
      </c>
      <c r="DA9" s="268">
        <v>4</v>
      </c>
      <c r="DB9" s="268">
        <v>234</v>
      </c>
      <c r="DC9" s="268">
        <v>4</v>
      </c>
      <c r="DD9" s="268">
        <v>34</v>
      </c>
      <c r="DE9" s="268">
        <v>4</v>
      </c>
      <c r="DG9" s="268" t="s">
        <v>517</v>
      </c>
      <c r="DH9" s="268">
        <f>COUNT(DH5:DH8)</f>
        <v>4</v>
      </c>
      <c r="DI9" s="268">
        <f t="shared" ref="DI9:DQ9" si="6">COUNT(DI5:DI8)</f>
        <v>3</v>
      </c>
      <c r="DJ9" s="268">
        <f t="shared" si="6"/>
        <v>2</v>
      </c>
      <c r="DK9" s="268">
        <f t="shared" si="6"/>
        <v>3</v>
      </c>
      <c r="DL9" s="268">
        <f t="shared" si="6"/>
        <v>2</v>
      </c>
      <c r="DM9" s="268">
        <f t="shared" si="6"/>
        <v>2</v>
      </c>
      <c r="DN9" s="268">
        <f t="shared" si="6"/>
        <v>1</v>
      </c>
      <c r="DO9" s="268">
        <f t="shared" si="6"/>
        <v>1</v>
      </c>
      <c r="DP9" s="268">
        <f t="shared" si="6"/>
        <v>1</v>
      </c>
      <c r="DQ9" s="268">
        <f t="shared" si="6"/>
        <v>1</v>
      </c>
      <c r="EG9" s="295"/>
      <c r="EI9" s="295"/>
      <c r="EK9" s="295"/>
    </row>
    <row r="10" spans="1:141 5661:5661 8916:8916 13419:13419" ht="15.75" customHeight="1" x14ac:dyDescent="0.3">
      <c r="A10" s="162"/>
      <c r="B10" s="235"/>
      <c r="C10" s="162"/>
      <c r="D10" s="150"/>
      <c r="E10" s="79"/>
      <c r="F10" s="81"/>
      <c r="G10" s="79"/>
      <c r="H10" s="82"/>
      <c r="I10" s="83"/>
      <c r="J10" s="84"/>
      <c r="K10" s="84"/>
      <c r="L10" s="84"/>
      <c r="M10" s="84"/>
      <c r="N10" s="86"/>
      <c r="O10" s="87"/>
      <c r="P10" s="84"/>
      <c r="Q10" s="95"/>
      <c r="R10" s="96"/>
      <c r="S10" s="97"/>
      <c r="T10" s="95"/>
      <c r="U10" s="95"/>
      <c r="V10" s="95"/>
      <c r="W10" s="95"/>
      <c r="X10" s="95"/>
      <c r="Y10" s="95"/>
      <c r="Z10" s="95"/>
      <c r="AA10" s="75"/>
      <c r="AB10" s="75"/>
      <c r="AC10" s="75"/>
      <c r="AD10" s="75"/>
      <c r="AE10" s="75"/>
      <c r="AF10" s="293"/>
      <c r="AV10" s="268" t="s">
        <v>38</v>
      </c>
      <c r="AW10" s="294">
        <v>1</v>
      </c>
      <c r="AY10" s="297"/>
      <c r="BB10" s="295"/>
      <c r="BC10" s="295"/>
      <c r="BD10" s="295"/>
      <c r="BE10" s="295"/>
      <c r="BF10" s="295"/>
      <c r="BG10" s="295"/>
      <c r="BH10" s="295"/>
      <c r="BI10" s="295"/>
      <c r="BJ10" s="295"/>
      <c r="BK10" s="295"/>
      <c r="BL10" s="295"/>
      <c r="BM10" s="295"/>
      <c r="BN10" s="295"/>
      <c r="BO10" s="295"/>
      <c r="BP10" s="295"/>
      <c r="BQ10" s="295"/>
      <c r="BR10" s="295"/>
      <c r="BS10" s="295"/>
      <c r="EI10" s="295"/>
      <c r="EK10" s="295"/>
      <c r="SVC10" s="268" t="s">
        <v>19</v>
      </c>
    </row>
    <row r="11" spans="1:141 5661:5661 8916:8916 13419:13419" ht="15" thickBot="1" x14ac:dyDescent="0.35">
      <c r="A11" s="162"/>
      <c r="B11" s="235"/>
      <c r="C11" s="162"/>
      <c r="D11" s="68"/>
      <c r="E11" s="88"/>
      <c r="F11" s="85" t="str">
        <f>F3</f>
        <v>Fecha</v>
      </c>
      <c r="G11" s="85" t="str">
        <f t="shared" ref="G11:N11" si="7">G3</f>
        <v>Hora</v>
      </c>
      <c r="H11" s="89" t="str">
        <f t="shared" si="7"/>
        <v>Jor.</v>
      </c>
      <c r="I11" s="153" t="str">
        <f t="shared" si="7"/>
        <v>Casa</v>
      </c>
      <c r="J11" s="85"/>
      <c r="K11" s="85" t="str">
        <f t="shared" si="7"/>
        <v>Gol</v>
      </c>
      <c r="L11" s="85" t="str">
        <f t="shared" si="7"/>
        <v>Gol</v>
      </c>
      <c r="M11" s="85"/>
      <c r="N11" s="88" t="str">
        <f t="shared" si="7"/>
        <v>Fuera</v>
      </c>
      <c r="O11" s="70"/>
      <c r="P11" s="70"/>
      <c r="Q11" s="70"/>
      <c r="R11" s="70"/>
      <c r="S11" s="70"/>
      <c r="T11" s="70"/>
      <c r="U11" s="70"/>
      <c r="V11" s="70"/>
      <c r="W11" s="70"/>
      <c r="X11" s="70"/>
      <c r="Y11" s="70"/>
      <c r="Z11" s="70"/>
      <c r="AA11" s="71"/>
      <c r="AB11" s="71"/>
      <c r="AC11" s="71"/>
      <c r="AD11" s="71"/>
      <c r="AE11" s="72"/>
      <c r="AF11" s="293"/>
      <c r="AW11" s="294"/>
      <c r="CA11" s="293"/>
      <c r="CB11" s="293"/>
    </row>
    <row r="12" spans="1:141 5661:5661 8916:8916 13419:13419" ht="15" customHeight="1" x14ac:dyDescent="0.3">
      <c r="A12" s="234" t="s">
        <v>64</v>
      </c>
      <c r="B12" s="235" t="s">
        <v>1</v>
      </c>
      <c r="C12" s="283">
        <f>COUNTIF(Equipos!$C$2:$C$17,'COPA AMERICA'!B12)</f>
        <v>4</v>
      </c>
      <c r="D12" s="150"/>
      <c r="E12" s="635" t="s">
        <v>1</v>
      </c>
      <c r="F12" s="42">
        <f>Horarios!C12</f>
        <v>45465.958333333336</v>
      </c>
      <c r="G12" s="43">
        <f>Horarios!C12</f>
        <v>45465.958333333336</v>
      </c>
      <c r="H12" s="42" t="str">
        <f>$H$4</f>
        <v>J1</v>
      </c>
      <c r="I12" s="44" t="str">
        <f ca="1">A14</f>
        <v>Ecuador</v>
      </c>
      <c r="J12" s="45" t="str">
        <f ca="1">VLOOKUP(I12,Equipos!$K$2:$L$21,2,0)</f>
        <v>🇪🇨</v>
      </c>
      <c r="K12" s="558"/>
      <c r="L12" s="558"/>
      <c r="M12" s="46" t="str">
        <f ca="1">VLOOKUP(N12,Equipos!$K$2:$L$21,2,0)</f>
        <v>🇻🇪</v>
      </c>
      <c r="N12" s="47" t="str">
        <f ca="1">A15</f>
        <v>Venezuela</v>
      </c>
      <c r="O12" s="87">
        <f t="shared" ref="O12:O17" si="8">IF(NOT(OR(ISBLANK(K12),ISBLANK(L12))),1,0)</f>
        <v>0</v>
      </c>
      <c r="P12" s="84"/>
      <c r="Q12" s="115" t="str">
        <f>CONCATENATE(Q3," ",B12)</f>
        <v>Grupo B</v>
      </c>
      <c r="R12" s="116"/>
      <c r="S12" s="116"/>
      <c r="T12" s="116"/>
      <c r="U12" s="116"/>
      <c r="V12" s="116"/>
      <c r="W12" s="116"/>
      <c r="X12" s="116"/>
      <c r="Y12" s="116"/>
      <c r="Z12" s="117"/>
      <c r="AA12" s="93"/>
      <c r="AB12" s="631" t="str">
        <f ca="1">IF($AA$13&gt;0,AB3,"")</f>
        <v/>
      </c>
      <c r="AC12" s="631"/>
      <c r="AD12" s="631"/>
      <c r="AE12" s="72"/>
      <c r="AF12" s="293"/>
      <c r="AH12" s="268" t="str">
        <f>CONCATENATE("Auxiliar - ",Q12)</f>
        <v>Auxiliar - Grupo B</v>
      </c>
      <c r="AU12" s="268" t="s">
        <v>41</v>
      </c>
      <c r="AW12" s="294"/>
      <c r="AY12" s="293" t="str">
        <f>CONCATENATE(Q12," - GOLAVERAGE")</f>
        <v>Grupo B - GOLAVERAGE</v>
      </c>
      <c r="BB12" s="268" t="s">
        <v>29</v>
      </c>
      <c r="BH12" s="268" t="s">
        <v>28</v>
      </c>
      <c r="BN12" s="295"/>
      <c r="BO12" s="295"/>
      <c r="BP12" s="295"/>
      <c r="BQ12" s="295"/>
      <c r="BR12" s="295"/>
      <c r="BS12" s="295"/>
      <c r="EK12" s="295"/>
    </row>
    <row r="13" spans="1:141 5661:5661 8916:8916 13419:13419" ht="15" thickBot="1" x14ac:dyDescent="0.35">
      <c r="A13" s="234" t="str">
        <f t="array" aca="1" ref="A13" ca="1">IF(ROWS(A$13:A13)&lt;=$C$12,INDEX(INDIRECT(A$12),SMALL(IF(Nivell=$B$12,ROW(Nivell)-ROW(Equipos!$C$2)+1),ROWS(B$12:B12))),"")</f>
        <v>México</v>
      </c>
      <c r="B13" s="235"/>
      <c r="C13" s="235"/>
      <c r="D13" s="150"/>
      <c r="E13" s="636"/>
      <c r="F13" s="19">
        <f>Horarios!C13</f>
        <v>45466.083333333336</v>
      </c>
      <c r="G13" s="20">
        <f>Horarios!C13</f>
        <v>45466.083333333336</v>
      </c>
      <c r="H13" s="19" t="str">
        <f>$H$4</f>
        <v>J1</v>
      </c>
      <c r="I13" s="21" t="str">
        <f ca="1">A13</f>
        <v>México</v>
      </c>
      <c r="J13" s="22" t="str">
        <f ca="1">VLOOKUP(I13,Equipos!$K$2:$L$21,2,0)</f>
        <v>🇲🇽</v>
      </c>
      <c r="K13" s="559"/>
      <c r="L13" s="559"/>
      <c r="M13" s="28" t="str">
        <f ca="1">VLOOKUP(N13,Equipos!$K$2:$L$21,2,0)</f>
        <v>🇯🇲</v>
      </c>
      <c r="N13" s="48" t="str">
        <f ca="1">A16</f>
        <v>Jamaica</v>
      </c>
      <c r="O13" s="87">
        <f t="shared" si="8"/>
        <v>0</v>
      </c>
      <c r="P13" s="84"/>
      <c r="Q13" s="118" t="str">
        <f>Q5</f>
        <v>Pos</v>
      </c>
      <c r="R13" s="119" t="str">
        <f>R5</f>
        <v>Selección</v>
      </c>
      <c r="S13" s="120" t="str">
        <f>S5</f>
        <v>Pts</v>
      </c>
      <c r="T13" s="120" t="str">
        <f>T5</f>
        <v>J</v>
      </c>
      <c r="U13" s="120" t="str">
        <f t="shared" ref="U13:Y13" si="9">U5</f>
        <v>G</v>
      </c>
      <c r="V13" s="120" t="str">
        <f t="shared" si="9"/>
        <v>E</v>
      </c>
      <c r="W13" s="120" t="str">
        <f t="shared" si="9"/>
        <v>P</v>
      </c>
      <c r="X13" s="120" t="str">
        <f t="shared" si="9"/>
        <v>GF</v>
      </c>
      <c r="Y13" s="120" t="str">
        <f t="shared" si="9"/>
        <v>GC</v>
      </c>
      <c r="Z13" s="121" t="str">
        <f>Z5</f>
        <v>DG</v>
      </c>
      <c r="AA13" s="93">
        <f ca="1">COUNTIF(AA14:AA17,"&lt;100")</f>
        <v>0</v>
      </c>
      <c r="AB13" s="631"/>
      <c r="AC13" s="631"/>
      <c r="AD13" s="631"/>
      <c r="AE13" s="72"/>
      <c r="AF13" s="293"/>
      <c r="AG13" s="296" t="s">
        <v>41</v>
      </c>
      <c r="AH13" s="296" t="s">
        <v>13</v>
      </c>
      <c r="AI13" s="296" t="s">
        <v>5</v>
      </c>
      <c r="AJ13" s="296" t="s">
        <v>14</v>
      </c>
      <c r="AK13" s="296" t="s">
        <v>6</v>
      </c>
      <c r="AL13" s="296" t="s">
        <v>7</v>
      </c>
      <c r="AM13" s="296" t="s">
        <v>3</v>
      </c>
      <c r="AN13" s="296" t="s">
        <v>8</v>
      </c>
      <c r="AO13" s="296" t="s">
        <v>9</v>
      </c>
      <c r="AP13" s="296" t="s">
        <v>10</v>
      </c>
      <c r="AQ13" s="296" t="s">
        <v>11</v>
      </c>
      <c r="AR13" s="296" t="s">
        <v>15</v>
      </c>
      <c r="AS13" s="296" t="s">
        <v>13</v>
      </c>
      <c r="AW13" s="294"/>
      <c r="AY13" s="296" t="s">
        <v>5</v>
      </c>
      <c r="AZ13" s="296" t="s">
        <v>30</v>
      </c>
      <c r="BA13" s="296" t="s">
        <v>33</v>
      </c>
      <c r="BB13" s="296" t="s">
        <v>32</v>
      </c>
      <c r="BC13" s="296" t="s">
        <v>27</v>
      </c>
      <c r="BD13" s="296" t="str">
        <f ca="1">AY14</f>
        <v>México</v>
      </c>
      <c r="BE13" s="296" t="str">
        <f ca="1">AY15</f>
        <v>Ecuador</v>
      </c>
      <c r="BF13" s="296" t="str">
        <f ca="1">AY16</f>
        <v>Venezuela</v>
      </c>
      <c r="BG13" s="296" t="str">
        <f ca="1">AY17</f>
        <v>Jamaica</v>
      </c>
      <c r="BH13" s="296" t="s">
        <v>32</v>
      </c>
      <c r="BI13" s="296" t="s">
        <v>27</v>
      </c>
      <c r="BJ13" s="296" t="str">
        <f ca="1">BD13</f>
        <v>México</v>
      </c>
      <c r="BK13" s="296" t="str">
        <f ca="1">BE13</f>
        <v>Ecuador</v>
      </c>
      <c r="BL13" s="296" t="str">
        <f ca="1">BF13</f>
        <v>Venezuela</v>
      </c>
      <c r="BM13" s="296" t="str">
        <f ca="1">BG13</f>
        <v>Jamaica</v>
      </c>
      <c r="BN13" s="296" t="s">
        <v>32</v>
      </c>
      <c r="BO13" s="296" t="s">
        <v>27</v>
      </c>
      <c r="BP13" s="296" t="str">
        <f ca="1">BD13</f>
        <v>México</v>
      </c>
      <c r="BQ13" s="296" t="str">
        <f ca="1">BE13</f>
        <v>Ecuador</v>
      </c>
      <c r="BR13" s="296" t="str">
        <f ca="1">BF13</f>
        <v>Venezuela</v>
      </c>
      <c r="BS13" s="296" t="str">
        <f ca="1">BG13</f>
        <v>Jamaica</v>
      </c>
      <c r="BU13" s="293"/>
      <c r="BV13" s="293" t="s">
        <v>42</v>
      </c>
      <c r="BW13" s="293"/>
      <c r="BX13" s="293" t="s">
        <v>43</v>
      </c>
      <c r="BY13" s="293"/>
      <c r="CC13" s="293" t="s">
        <v>197</v>
      </c>
      <c r="CD13" s="297" t="s">
        <v>202</v>
      </c>
      <c r="CE13" s="296" t="s">
        <v>198</v>
      </c>
      <c r="CF13" s="296" t="s">
        <v>199</v>
      </c>
      <c r="CG13" s="293" t="s">
        <v>196</v>
      </c>
      <c r="CH13" s="296" t="s">
        <v>195</v>
      </c>
      <c r="CI13" s="296"/>
      <c r="CJ13" s="296"/>
      <c r="CK13" s="296"/>
      <c r="CL13" s="296"/>
      <c r="CM13" s="296"/>
      <c r="CN13" s="296"/>
      <c r="CP13" s="268">
        <v>1</v>
      </c>
      <c r="CQ13" s="268">
        <v>2</v>
      </c>
      <c r="CR13" s="268">
        <v>3</v>
      </c>
      <c r="CS13" s="268">
        <v>4</v>
      </c>
      <c r="EG13" s="296"/>
      <c r="EI13" s="296"/>
      <c r="EK13" s="296"/>
    </row>
    <row r="14" spans="1:141 5661:5661 8916:8916 13419:13419" x14ac:dyDescent="0.3">
      <c r="A14" s="234" t="str">
        <f t="array" aca="1" ref="A14" ca="1">IF(ROWS(A$13:A14)&lt;=$C$12,INDEX(INDIRECT(A$12),SMALL(IF(Nivell=$B$12,ROW(Nivell)-ROW(Equipos!$C$2)+1),ROWS(B$12:B13))),"")</f>
        <v>Ecuador</v>
      </c>
      <c r="B14" s="235"/>
      <c r="C14" s="236"/>
      <c r="D14" s="150"/>
      <c r="E14" s="636"/>
      <c r="F14" s="19">
        <f>Horarios!C14</f>
        <v>45469.958333333336</v>
      </c>
      <c r="G14" s="20">
        <f>Horarios!C14</f>
        <v>45469.958333333336</v>
      </c>
      <c r="H14" s="19" t="str">
        <f>$H$6</f>
        <v>J2</v>
      </c>
      <c r="I14" s="21" t="str">
        <f ca="1">A14</f>
        <v>Ecuador</v>
      </c>
      <c r="J14" s="22" t="str">
        <f ca="1">VLOOKUP(I14,Equipos!$K$2:$L$21,2,0)</f>
        <v>🇪🇨</v>
      </c>
      <c r="K14" s="559"/>
      <c r="L14" s="559"/>
      <c r="M14" s="28" t="str">
        <f ca="1">VLOOKUP(N14,Equipos!$K$2:$L$21,2,0)</f>
        <v>🇯🇲</v>
      </c>
      <c r="N14" s="48" t="str">
        <f ca="1">A16</f>
        <v>Jamaica</v>
      </c>
      <c r="O14" s="87">
        <f t="shared" si="8"/>
        <v>0</v>
      </c>
      <c r="P14" s="84"/>
      <c r="Q14" s="122">
        <v>1</v>
      </c>
      <c r="R14" s="123" t="str">
        <f ca="1">VLOOKUP(Q14,$AG$14:$AI$17,3,0)</f>
        <v>México</v>
      </c>
      <c r="S14" s="124">
        <f ca="1">VLOOKUP(R14,$AI$14:$AR$17,2,FALSE)</f>
        <v>0</v>
      </c>
      <c r="T14" s="124">
        <f ca="1">VLOOKUP($R14,$AI$14:$AR$17,3,FALSE)</f>
        <v>0</v>
      </c>
      <c r="U14" s="124">
        <f ca="1">VLOOKUP($R14,$AI$14:$AR$17,4,FALSE)</f>
        <v>0</v>
      </c>
      <c r="V14" s="124">
        <f ca="1">VLOOKUP($R14,$AI$14:$AR$17,5,FALSE)</f>
        <v>0</v>
      </c>
      <c r="W14" s="124">
        <f ca="1">VLOOKUP($R14,$AI$14:$AR$17,6,FALSE)</f>
        <v>0</v>
      </c>
      <c r="X14" s="124">
        <f ca="1">VLOOKUP($R14,$AI$14:$AR$17,7,FALSE)</f>
        <v>0</v>
      </c>
      <c r="Y14" s="124">
        <f ca="1">VLOOKUP($R14,$AI$14:$AR$17,8,FALSE)</f>
        <v>0</v>
      </c>
      <c r="Z14" s="125">
        <f ca="1">VLOOKUP($R14,$AI$14:$AR$17,9,FALSE)</f>
        <v>0</v>
      </c>
      <c r="AA14" s="75">
        <f ca="1">IF(SUM($AK$14:$AK$17)=12,MIN(ABS(BY13-BY14),ABS(BY14-BY15)),100)</f>
        <v>100</v>
      </c>
      <c r="AB14" s="94" t="str">
        <f ca="1">IF(AND(AA14&gt;=0,AA14&lt;90),VLOOKUP(Q14,$BU$14:$BV$17,2,0),"")</f>
        <v/>
      </c>
      <c r="AC14" s="74"/>
      <c r="AD14" s="75"/>
      <c r="AE14" s="72"/>
      <c r="AF14" s="293"/>
      <c r="AG14" s="268">
        <f ca="1">RANK(AU14,$AU$14:$AU$17)</f>
        <v>1</v>
      </c>
      <c r="AH14" s="268">
        <f ca="1">RANK(AR14,$AR$14:$AR$17)</f>
        <v>1</v>
      </c>
      <c r="AI14" s="268" t="str">
        <f ca="1">A13</f>
        <v>México</v>
      </c>
      <c r="AJ14" s="268">
        <f ca="1">AL14*3+AM14*1+AN14*0</f>
        <v>0</v>
      </c>
      <c r="AK14" s="268">
        <f ca="1">COUNTIFS($I$4:$I$33,AI14,$K$4:$K$33,"&lt;&gt;",$L$4:$L$33,"&lt;&gt;")+COUNTIFS($N$4:$N$33,AI14,$L$4:$L$33,"&lt;&gt;",$K$4:$K$33,"&lt;&gt;")</f>
        <v>0</v>
      </c>
      <c r="AL14" s="268">
        <f t="array" aca="1" ref="AL14" ca="1">SUM(($I$4:$I$33=AI14)*($K$4:$K$33&lt;&gt;"")*($L$4:$L$33&lt;&gt;"")*($K$4:$K$33&gt;$L$4:$L$33),($N$4:$N$33=AI14)*($K$4:$K$33&lt;&gt;"")*($L$4:$L$33&lt;&gt;"")*($K$4:$K$33&lt;$L$4:$L$33))</f>
        <v>0</v>
      </c>
      <c r="AM14" s="268">
        <f t="array" aca="1" ref="AM14" ca="1">SUM(($I$4:$I$33=AI14)*($K$4:$K$33&lt;&gt;"")*($L$4:$L$33&lt;&gt;"")*($K$4:$K$33=$L$4:$L$33),($N$4:$N$33=AI14)*($K$4:$K$33&lt;&gt;"")*($L$4:$L$33&lt;&gt;"")*($K$4:$K$33=$L$4:$L$33))</f>
        <v>0</v>
      </c>
      <c r="AN14" s="268">
        <f t="array" aca="1" ref="AN14" ca="1">SUM(($I$4:$I$33=AI14)*($L$4:$L$33&lt;&gt;"")*($K$4:$K$33&lt;&gt;"")*($K$4:$K$33&lt;$L$4:$L$33),($K$4:$K$33&lt;&gt;"")*($N$4:$N$33=AI14)*($L$4:$L$33&lt;&gt;"")*($K$4:$K$33&gt;$L$4:$L$33))</f>
        <v>0</v>
      </c>
      <c r="AO14" s="268">
        <f t="array" aca="1" ref="AO14" ca="1">SUMIFS($K$4:$K$33,$I$4:$I$33,AI14,$K$4:$K$33,"&lt;&gt;",$L$4:$L$33,"&lt;&gt;")+SUMIFS($L$4:$L$33,$N$4:$N$33,AI14,$K$4:$K$33,"&lt;&gt;",$L$4:$L$33,"&lt;&gt;")</f>
        <v>0</v>
      </c>
      <c r="AP14" s="268">
        <f t="array" aca="1" ref="AP14" ca="1">SUMIFS($K$4:$K$33,$N$4:$N$33,AI14,$K$4:$K$33,"&lt;&gt;",$L$4:$L$33,"&lt;&gt;")+SUMIFS($L$4:$L$33,$I$4:$I$33,AI14,$K$4:$K$33,"&lt;&gt;",$L$4:$L$33,"&lt;&gt;")</f>
        <v>0</v>
      </c>
      <c r="AQ14" s="268">
        <f ca="1">AO14-AP14</f>
        <v>0</v>
      </c>
      <c r="AR14" s="268">
        <f ca="1">IF(AK14=0,-($AW$10*VLOOKUP(AI14,Tabla3[[NombreEquipo]:[Rank]],3,FALSE)),AJ14*$AW$4+AQ14*$AW$5+AO14*$AW$6+BA14-($AW$10*VLOOKUP(AI14,Tabla3[[NombreEquipo]:[Rank]],3,FALSE)/100))</f>
        <v>-5</v>
      </c>
      <c r="AS14" s="268">
        <f ca="1">AH14</f>
        <v>1</v>
      </c>
      <c r="AU14" s="268">
        <f ca="1">IFERROR(AR14-VLOOKUP(AI14,$AB$14:$AC$17,2,0),AR14)</f>
        <v>-5</v>
      </c>
      <c r="AW14" s="294"/>
      <c r="AY14" s="297" t="str">
        <f ca="1">AI14</f>
        <v>México</v>
      </c>
      <c r="AZ14" s="268">
        <f ca="1">COUNTIF(AJ14:AJ17,AJ14)</f>
        <v>4</v>
      </c>
      <c r="BA14" s="268">
        <f ca="1">(BB14*$AW$9)+(BH14*$AW$8)+(BN14*$AW$7)</f>
        <v>111000</v>
      </c>
      <c r="BB14" s="295">
        <f ca="1">RANK(BC14,BC14:BC17,1)</f>
        <v>1</v>
      </c>
      <c r="BC14" s="295">
        <f ca="1">SUM(IF(AND(AJ14=AJ15,AQ14=AQ15,AO14=AO15),BE14,0),IF(AND(AJ14=AJ16,AQ14=AQ16,AO14=AO16),BF14,0),IF(AND(AJ14=AJ17,AQ14=AQ17,AO14=AO17),BG14,0))</f>
        <v>0</v>
      </c>
      <c r="BD14" s="295">
        <v>0</v>
      </c>
      <c r="BE14" s="295">
        <f t="array" aca="1" ref="BE14" ca="1">SUMIFS($K$12:$K$17,$I$12:$I$17,$AY14,$K$12:$K$17,"&lt;&gt;",$L$12:$L$17,"&lt;&gt;",$N$12:$N$17,BE13)+SUMIFS($L$12:$L$17,$I$12:$I$17,BE13,$K$12:$K$17,"&lt;&gt;",$L$12:$L$17,"&lt;&gt;",$N$12:$N$17,$AY14)</f>
        <v>0</v>
      </c>
      <c r="BF14" s="295">
        <f t="array" aca="1" ref="BF14" ca="1">SUMIFS($K$12:$K$17,$I$12:$I$17,$AY14,$K$12:$K$17,"&lt;&gt;",$L$12:$L$17,"&lt;&gt;",$N$12:$N$17,BF13)+SUMIFS($L$12:$L$17,$I$12:$I$17,BF13,$K$12:$K$17,"&lt;&gt;",$L$12:$L$17,"&lt;&gt;",$N$12:$N$17,$AY14)</f>
        <v>0</v>
      </c>
      <c r="BG14" s="295">
        <f t="array" aca="1" ref="BG14" ca="1">SUMIFS($K$12:$K$17,$I$12:$I$17,$AY14,$K$12:$K$17,"&lt;&gt;",$L$12:$L$17,"&lt;&gt;",$N$12:$N$17,BG13)+SUMIFS($L$12:$L$17,$I$12:$I$17,BG13,$K$12:$K$17,"&lt;&gt;",$L$12:$L$17,"&lt;&gt;",$N$12:$N$17,$AY14)</f>
        <v>0</v>
      </c>
      <c r="BH14" s="295">
        <f ca="1">RANK(BI14,BI14:BI17,1)</f>
        <v>1</v>
      </c>
      <c r="BI14" s="295">
        <f ca="1">SUM(IF(AND(AJ14=AJ15,AQ14=AQ15,AO14=AO15),BK14,0),IF(AND(AJ14=AJ16,AQ14=AQ16,AO14=AO16),BL14,0),IF(AND(AJ14=AJ17,AQ14=AQ17,AO14=AO17),BM14,0))</f>
        <v>0</v>
      </c>
      <c r="BJ14" s="295">
        <v>0</v>
      </c>
      <c r="BK14" s="295">
        <f ca="1">BE14-BD15</f>
        <v>0</v>
      </c>
      <c r="BL14" s="295">
        <f ca="1">BF14-BD16</f>
        <v>0</v>
      </c>
      <c r="BM14" s="295">
        <f ca="1">BG14-BD17</f>
        <v>0</v>
      </c>
      <c r="BN14" s="295">
        <f ca="1">RANK(BO14,BO14:BO17,1)</f>
        <v>1</v>
      </c>
      <c r="BO14" s="295">
        <f ca="1">SUM(IF(AND(AJ14=AJ15,AQ14=AQ15,AO14=AO15),BQ14,0),IF(AND(AJ14=AJ16,AQ14=AQ16,AO14=AO16),BR14,0),IF(AND(AJ14=AJ17,AQ14=AQ17,AO14=AO17),BS14,0))</f>
        <v>0</v>
      </c>
      <c r="BP14" s="295">
        <v>0</v>
      </c>
      <c r="BQ14" s="295">
        <f t="array" aca="1" ref="BQ14" ca="1">SUM((I$4:I$33=AY14)*(N$4:N$33=BQ13)*(K$4:K$33&lt;&gt;"")*(L$4:L$33&lt;&gt;"")*(K$4:K$33&gt;L$4:L$33)*3,(N$4:N$33=AY14)*(I$4:I$33=BQ13)*(K$4:K$33&lt;&gt;"")*(L$4:L$33&lt;&gt;"")*(K$4:K$33=L$4:L$33)*1,(N$4:N$33=AY14)*(I$4:I$33=BQ13)*(K$4:K$33&lt;&gt;"")*(L$4:L$33&lt;&gt;"")*(K$4:K$33&lt;L$4:L$33)*3,(I$4:I$33=AY14)*(N$4:N$33=BQ13)*(K$4:K$33&lt;&gt;"")*(L$4:L$33&lt;&gt;"")*(K$4:K$33=L$4:L$33)*1)</f>
        <v>0</v>
      </c>
      <c r="BR14" s="295">
        <f t="array" aca="1" ref="BR14" ca="1">SUM((I$4:I$33=AY14)*(N$4:N$33=BR13)*(K$4:K$33&lt;&gt;"")*(L$4:L$33&lt;&gt;"")*(K$4:K$33&gt;L$4:L$33)*3,(N$4:N$33=AY14)*(I$4:I$33=BR13)*(K$4:K$33&lt;&gt;"")*(L$4:L$33&lt;&gt;"")*(K$4:K$33=L$4:L$33)*1,(N$4:N$33=AY14)*(I$4:I$33=BR13)*(K$4:K$33&lt;&gt;"")*(L$4:L$33&lt;&gt;"")*(K$4:K$33&lt;L$4:L$33)*3,(I$4:I$33=AY14)*(N$4:N$33=BR13)*(K$4:K$33&lt;&gt;"")*(L$4:L$33&lt;&gt;"")*(K$4:K$33=L$4:L$33)*1)</f>
        <v>0</v>
      </c>
      <c r="BS14" s="295">
        <f t="array" aca="1" ref="BS14" ca="1">SUM((I$4:I$33=AY14)*(N$4:N$33=BS13)*(K$4:K$33&lt;&gt;"")*(L$4:L$33&lt;&gt;"")*(K$4:K$33&gt;L$4:L$33)*3,(N$4:N$33=AY14)*(I$4:I$33=BS13)*(K$4:K$33&lt;&gt;"")*(L$4:L$33&lt;&gt;"")*(K$4:K$33=L$4:L$33)*1,(N$4:N$33=AY14)*(I$4:I$33=BS13)*(K$4:K$33&lt;&gt;"")*(L$4:L$33&lt;&gt;"")*(K$4:K$33&lt;L$4:L$33)*3,(I$4:I$33=AY14)*(N$4:N$33=BS13)*(K$4:K$33&lt;&gt;"")*(L$4:L$33&lt;&gt;"")*(K$4:K$33=L$4:L$33)*1)</f>
        <v>0</v>
      </c>
      <c r="BT14" s="268">
        <v>1</v>
      </c>
      <c r="BU14" s="268">
        <f ca="1">RANK(BW14,$BW$14:$BW$17)</f>
        <v>1</v>
      </c>
      <c r="BV14" s="268" t="str">
        <f ca="1">A13</f>
        <v>México</v>
      </c>
      <c r="BW14" s="268">
        <f ca="1">IF(AK14=0,-($AW$10*VLOOKUP(AI14,Tabla3[[NombreEquipo]:[Rank]],3,FALSE)),AJ14*$AW$4+AQ14*$AW$5+AO14*$AW$6+BA14-($AW$10*VLOOKUP(AI14,Tabla3[[NombreEquipo]:[Rank]],3,FALSE)/100))</f>
        <v>-5</v>
      </c>
      <c r="BX14" s="268" t="str">
        <f ca="1">VLOOKUP(Q14,$AH$14:$AI$17,2,0)</f>
        <v>México</v>
      </c>
      <c r="BY14" s="268">
        <f ca="1">VLOOKUP($BX14,$AI$14:$AR$17,10,FALSE)</f>
        <v>-5</v>
      </c>
      <c r="CC14" s="268">
        <f ca="1">RANK(CE14,$CE$14:$CE$17)</f>
        <v>1</v>
      </c>
      <c r="CD14" s="268" t="str">
        <f ca="1">A13</f>
        <v>México</v>
      </c>
      <c r="CE14" s="268">
        <f ca="1">IF(AK14=0,-($AW$10*VLOOKUP(AI14,Tabla3[[NombreEquipo]:[Rank]],3,FALSE)),AJ14*$AW$4+AQ14*$AW$5+AO14*$AW$6+BA14-($AW$10*VLOOKUP(AI14,Tabla3[[NombreEquipo]:[Rank]],3,FALSE)/100))</f>
        <v>-5</v>
      </c>
      <c r="CF14" s="268">
        <f ca="1">IF(AK14=0,-($AW$10*VLOOKUP(AI14,Tabla3[[NombreEquipo]:[Rank]],3,FALSE)),AJ14*$AW$4+AQ14*$AW$5+AO14*$AW$6+BA14)</f>
        <v>-5</v>
      </c>
      <c r="CG14" s="268">
        <v>1</v>
      </c>
      <c r="CH14" s="268" t="str">
        <f ca="1">VLOOKUP(CG14,$CC$14:$CD$17,2,0)</f>
        <v>México</v>
      </c>
      <c r="CI14" s="268">
        <f ca="1">VLOOKUP(CG14,$CC$14:$CF$17,4,0)</f>
        <v>-5</v>
      </c>
      <c r="CJ14" s="268">
        <f ca="1">COUNTIF($CI$14:$CI$17,CI14)</f>
        <v>1</v>
      </c>
      <c r="CK14" s="268" t="str">
        <f ca="1">CJ14&amp;CJ15&amp;CJ16&amp;CJ17</f>
        <v>1111</v>
      </c>
      <c r="CL14" s="268">
        <f ca="1">HLOOKUP(CK14,$CX$3:$DE$4,2,0)</f>
        <v>8</v>
      </c>
      <c r="CM14" s="268">
        <v>1</v>
      </c>
      <c r="CN14" s="268">
        <f ca="1">HLOOKUP(CL14,$CX$4:$DE$9,3,0)</f>
        <v>1</v>
      </c>
      <c r="CP14" s="268" cm="1">
        <f t="array" aca="1" ref="CP14" ca="1">OFFSET($DG$4,1,MATCH($CN14,$DH$4:$DQ$4,0),HLOOKUP($CN14,$DH$4:$DQ$9,6,0),1)</f>
        <v>1</v>
      </c>
      <c r="CQ14" s="268" cm="1">
        <f t="array" aca="1" ref="CQ14" ca="1">OFFSET($DG$4,1,MATCH($CN15,$DH$4:$DQ$4,0),HLOOKUP($CN15,$DH$4:$DQ$9,6,0),1)</f>
        <v>2</v>
      </c>
      <c r="CR14" s="268" cm="1">
        <f t="array" aca="1" ref="CR14" ca="1">OFFSET($DG$4,1,MATCH($CN16,$DH$4:$DQ$4,0),HLOOKUP($CN16,$DH$4:$DQ$9,6,0),1)</f>
        <v>3</v>
      </c>
      <c r="CS14" s="268" cm="1">
        <f t="array" aca="1" ref="CS14" ca="1">OFFSET($DG$4,1,MATCH($CN17,$DH$4:$DQ$4,0),HLOOKUP($CN17,$DH$4:$DQ$9,6,0),1)</f>
        <v>4</v>
      </c>
      <c r="EG14" s="295"/>
      <c r="EI14" s="295"/>
      <c r="EK14" s="295"/>
      <c r="HIS14" s="268" t="s">
        <v>19</v>
      </c>
    </row>
    <row r="15" spans="1:141 5661:5661 8916:8916 13419:13419" x14ac:dyDescent="0.3">
      <c r="A15" s="234" t="str">
        <f t="array" aca="1" ref="A15" ca="1">IF(ROWS(A$13:A15)&lt;=$C$12,INDEX(INDIRECT(A$12),SMALL(IF(Nivell=$B$12,ROW(Nivell)-ROW(Equipos!$C$2)+1),ROWS(B$12:B14))),"")</f>
        <v>Venezuela</v>
      </c>
      <c r="B15" s="235"/>
      <c r="C15" s="164"/>
      <c r="D15" s="150"/>
      <c r="E15" s="636"/>
      <c r="F15" s="19">
        <f>Horarios!C15</f>
        <v>45470.083333333336</v>
      </c>
      <c r="G15" s="20">
        <f>Horarios!C15</f>
        <v>45470.083333333336</v>
      </c>
      <c r="H15" s="19" t="str">
        <f>$H$6</f>
        <v>J2</v>
      </c>
      <c r="I15" s="21" t="str">
        <f ca="1">A15</f>
        <v>Venezuela</v>
      </c>
      <c r="J15" s="22" t="str">
        <f ca="1">VLOOKUP(I15,Equipos!$K$2:$L$21,2,0)</f>
        <v>🇻🇪</v>
      </c>
      <c r="K15" s="559"/>
      <c r="L15" s="559"/>
      <c r="M15" s="28" t="str">
        <f ca="1">VLOOKUP(N15,Equipos!$K$2:$L$21,2,0)</f>
        <v>🇲🇽</v>
      </c>
      <c r="N15" s="48" t="str">
        <f ca="1">A13</f>
        <v>México</v>
      </c>
      <c r="O15" s="87">
        <f t="shared" si="8"/>
        <v>0</v>
      </c>
      <c r="P15" s="84"/>
      <c r="Q15" s="126">
        <v>2</v>
      </c>
      <c r="R15" s="3" t="str">
        <f ca="1">VLOOKUP(Q15,$AG$14:$AI$17,3,0)</f>
        <v>Ecuador</v>
      </c>
      <c r="S15" s="2">
        <f ca="1">VLOOKUP(R15,$AI$14:$AR$17,2,FALSE)</f>
        <v>0</v>
      </c>
      <c r="T15" s="2">
        <f ca="1">VLOOKUP($R15,$AI$14:$AR$17,3,FALSE)</f>
        <v>0</v>
      </c>
      <c r="U15" s="2">
        <f ca="1">VLOOKUP($R15,$AI$14:$AR$17,4,FALSE)</f>
        <v>0</v>
      </c>
      <c r="V15" s="2">
        <f ca="1">VLOOKUP($R15,$AI$14:$AR$17,5,FALSE)</f>
        <v>0</v>
      </c>
      <c r="W15" s="2">
        <f ca="1">VLOOKUP($R15,$AI$14:$AR$17,6,FALSE)</f>
        <v>0</v>
      </c>
      <c r="X15" s="2">
        <f ca="1">VLOOKUP($R15,$AI$14:$AR$17,7,FALSE)</f>
        <v>0</v>
      </c>
      <c r="Y15" s="2">
        <f ca="1">VLOOKUP($R15,$AI$14:$AR$17,8,FALSE)</f>
        <v>0</v>
      </c>
      <c r="Z15" s="127">
        <f ca="1">VLOOKUP($R15,$AI$14:$AR$17,9,FALSE)</f>
        <v>0</v>
      </c>
      <c r="AA15" s="75">
        <f ca="1">IF(SUM($AK$14:$AK$17)=12,MIN(ABS(BY14-BY15),ABS(BY15-BY16)),100)</f>
        <v>100</v>
      </c>
      <c r="AB15" s="94" t="str">
        <f ca="1">IF(AND(AA15&gt;=0,AA15&lt;90),VLOOKUP(Q15,$BU$14:$BV$17,2,0),"")</f>
        <v/>
      </c>
      <c r="AC15" s="74"/>
      <c r="AD15" s="75"/>
      <c r="AE15" s="72"/>
      <c r="AF15" s="293"/>
      <c r="AG15" s="268">
        <f ca="1">RANK(AU15,$AU$14:$AU$17)</f>
        <v>2</v>
      </c>
      <c r="AH15" s="268">
        <f ca="1">RANK(AR15,$AR$14:$AR$17)</f>
        <v>2</v>
      </c>
      <c r="AI15" s="268" t="str">
        <f ca="1">A14</f>
        <v>Ecuador</v>
      </c>
      <c r="AJ15" s="268">
        <f ca="1">AL15*3+AM15*1+AN15*0</f>
        <v>0</v>
      </c>
      <c r="AK15" s="268">
        <f ca="1">COUNTIFS($I$4:$I$33,AI15,$K$4:$K$33,"&lt;&gt;",$L$4:$L$33,"&lt;&gt;")+COUNTIFS($N$4:$N$33,AI15,$L$4:$L$33,"&lt;&gt;",$K$4:$K$33,"&lt;&gt;")</f>
        <v>0</v>
      </c>
      <c r="AL15" s="268">
        <f t="array" aca="1" ref="AL15" ca="1">SUM(($I$4:$I$33=AI15)*($K$4:$K$33&lt;&gt;"")*($L$4:$L$33&lt;&gt;"")*($K$4:$K$33&gt;$L$4:$L$33),($N$4:$N$33=AI15)*($K$4:$K$33&lt;&gt;"")*($L$4:$L$33&lt;&gt;"")*($K$4:$K$33&lt;$L$4:$L$33))</f>
        <v>0</v>
      </c>
      <c r="AM15" s="268">
        <f t="array" aca="1" ref="AM15" ca="1">SUM(($I$4:$I$33=AI15)*($K$4:$K$33&lt;&gt;"")*($L$4:$L$33&lt;&gt;"")*($K$4:$K$33=$L$4:$L$33),($N$4:$N$33=AI15)*($K$4:$K$33&lt;&gt;"")*($L$4:$L$33&lt;&gt;"")*($K$4:$K$33=$L$4:$L$33))</f>
        <v>0</v>
      </c>
      <c r="AN15" s="268">
        <f t="array" aca="1" ref="AN15" ca="1">SUM(($I$4:$I$33=AI15)*($L$4:$L$33&lt;&gt;"")*($K$4:$K$33&lt;&gt;"")*($K$4:$K$33&lt;$L$4:$L$33),($K$4:$K$33&lt;&gt;"")*($N$4:$N$33=AI15)*($L$4:$L$33&lt;&gt;"")*($K$4:$K$33&gt;$L$4:$L$33))</f>
        <v>0</v>
      </c>
      <c r="AO15" s="268">
        <f t="array" aca="1" ref="AO15" ca="1">SUMIFS($K$4:$K$33,$I$4:$I$33,AI15,$K$4:$K$33,"&lt;&gt;",$L$4:$L$33,"&lt;&gt;")+SUMIFS($L$4:$L$33,$N$4:$N$33,AI15,$K$4:$K$33,"&lt;&gt;",$L$4:$L$33,"&lt;&gt;")</f>
        <v>0</v>
      </c>
      <c r="AP15" s="268">
        <f t="array" aca="1" ref="AP15" ca="1">SUMIFS($K$4:$K$33,$N$4:$N$33,AI15,$K$4:$K$33,"&lt;&gt;",$L$4:$L$33,"&lt;&gt;")+SUMIFS($L$4:$L$33,$I$4:$I$33,AI15,$K$4:$K$33,"&lt;&gt;",$L$4:$L$33,"&lt;&gt;")</f>
        <v>0</v>
      </c>
      <c r="AQ15" s="268">
        <f ca="1">AO15-AP15</f>
        <v>0</v>
      </c>
      <c r="AR15" s="268">
        <f ca="1">IF(AK15=0,-($AW$10*VLOOKUP(AI15,Tabla3[[NombreEquipo]:[Rank]],3,FALSE)),AJ15*$AW$4+AQ15*$AW$5+AO15*$AW$6+BA15-($AW$10*VLOOKUP(AI15,Tabla3[[NombreEquipo]:[Rank]],3,FALSE)/100))</f>
        <v>-6</v>
      </c>
      <c r="AS15" s="268">
        <f ca="1">AH15</f>
        <v>2</v>
      </c>
      <c r="AU15" s="268">
        <f ca="1">IFERROR(AR15-VLOOKUP(AI15,$AB$14:$AC$17,2,0),AR15)</f>
        <v>-6</v>
      </c>
      <c r="AW15" s="294"/>
      <c r="AY15" s="297" t="str">
        <f ca="1">AI15</f>
        <v>Ecuador</v>
      </c>
      <c r="AZ15" s="268">
        <f ca="1">COUNTIF(AJ14:AJ17,AJ15)</f>
        <v>4</v>
      </c>
      <c r="BA15" s="268">
        <f ca="1">(BB15*$AW$9)+(BH15*$AW$8)+(BN15*$AW$7)</f>
        <v>111000</v>
      </c>
      <c r="BB15" s="295">
        <f ca="1">RANK(BC15,BC14:BC17,1)</f>
        <v>1</v>
      </c>
      <c r="BC15" s="295">
        <f ca="1">SUM(IF(AND(AJ15=AJ16,AQ15=AQ16,AO15=AO16),BF15,0),IF(AND(AJ15=AJ17,AQ15=AQ17,AO15=AO17),BG15,0),IF(AND(AJ15=AJ14,AQ15=AQ14,AO15=AO14),BD15,0))</f>
        <v>0</v>
      </c>
      <c r="BD15" s="295">
        <f t="array" aca="1" ref="BD15" ca="1">SUMIFS($K$12:$K$17,$I$12:$I$17,$AY15,$K$12:$K$17,"&lt;&gt;",$L$12:$L$17,"&lt;&gt;",$N$12:$N$17,BD13)+SUMIFS($L$12:$L$17,$I$12:$I$17,BD13,$K$12:$K$17,"&lt;&gt;",$L$12:$L$17,"&lt;&gt;",$N$12:$N$17,$AY15)</f>
        <v>0</v>
      </c>
      <c r="BE15" s="295">
        <v>0</v>
      </c>
      <c r="BF15" s="295">
        <f t="array" aca="1" ref="BF15" ca="1">SUMIFS($K$12:$K$17,$I$12:$I$17,$AY15,$K$12:$K$17,"&lt;&gt;",$L$12:$L$17,"&lt;&gt;",$N$12:$N$17,BF13)+SUMIFS($L$12:$L$17,$I$12:$I$17,BF13,$K$12:$K$17,"&lt;&gt;",$L$12:$L$17,"&lt;&gt;",$N$12:$N$17,$AY15)</f>
        <v>0</v>
      </c>
      <c r="BG15" s="295">
        <f t="array" aca="1" ref="BG15" ca="1">SUMIFS($K$12:$K$17,$I$12:$I$17,$AY15,$K$12:$K$17,"&lt;&gt;",$L$12:$L$17,"&lt;&gt;",$N$12:$N$17,BG13)+SUMIFS($L$12:$L$17,$I$12:$I$17,BG13,$K$12:$K$17,"&lt;&gt;",$L$12:$L$17,"&lt;&gt;",$N$12:$N$17,$AY15)</f>
        <v>0</v>
      </c>
      <c r="BH15" s="295">
        <f ca="1">RANK(BI15,BI14:BI17,1)</f>
        <v>1</v>
      </c>
      <c r="BI15" s="295">
        <f ca="1">SUM(IF(AND(AJ15=AJ16,AQ15=AQ16,AO15=AO16),BL15,0),IF(AND(AJ15=AJ17,AQ15=AQ17,AO15=AO17),BM15,0),IF(AND(AJ15=AJ14,AQ15=AQ14,AO15=AO14),BJ15,0))</f>
        <v>0</v>
      </c>
      <c r="BJ15" s="295">
        <f ca="1">BD15-BE14</f>
        <v>0</v>
      </c>
      <c r="BK15" s="295">
        <v>0</v>
      </c>
      <c r="BL15" s="295">
        <f ca="1">BF15-BE16</f>
        <v>0</v>
      </c>
      <c r="BM15" s="295">
        <f ca="1">BG15-BE17</f>
        <v>0</v>
      </c>
      <c r="BN15" s="295">
        <f ca="1">RANK(BO15,BO14:BO17,1)</f>
        <v>1</v>
      </c>
      <c r="BO15" s="295">
        <f ca="1">SUM(IF(AND(AJ15=AJ16,AQ15=AQ16,AO15=AO16),BR15,0),IF(AND(AJ15=AJ17,AQ15=AQ17,AO15=AO17),BS15,0),IF(AND(AJ15=AJ14,AQ15=AQ14,AO15=AO14),BP15,0))</f>
        <v>0</v>
      </c>
      <c r="BP15" s="295">
        <f t="array" aca="1" ref="BP15" ca="1">SUM((I$4:I$33=AY15)*(N$4:N$33=BP13)*(K$4:K$33&lt;&gt;"")*(L$4:L$33&lt;&gt;"")*(K$4:K$33&gt;L$4:L$33)*3,(N$4:N$33=AY15)*(I$4:I$33=BP13)*(K$4:K$33&lt;&gt;"")*(L$4:L$33&lt;&gt;"")*(K$4:K$33=L$4:L$33)*1,(N$4:N$33=AY15)*(I$4:I$33=BP13)*(K$4:K$33&lt;&gt;"")*(L$4:L$33&lt;&gt;"")*(K$4:K$33&lt;L$4:L$33)*3,(I$4:I$33=AY15)*(N$4:N$33=BP13)*(K$4:K$33&lt;&gt;"")*(L$4:L$33&lt;&gt;"")*(K$4:K$33=L$4:L$33)*1)</f>
        <v>0</v>
      </c>
      <c r="BQ15" s="295">
        <v>0</v>
      </c>
      <c r="BR15" s="295">
        <f t="array" aca="1" ref="BR15" ca="1">SUM((I$4:I$33=AY15)*(N$4:N$33=BR13)*(K$4:K$33&lt;&gt;"")*(L$4:L$33&lt;&gt;"")*(K$4:K$33&gt;L$4:L$33)*3,(N$4:N$33=AY15)*(I$4:I$33=BR13)*(K$4:K$33&lt;&gt;"")*(L$4:L$33&lt;&gt;"")*(K$4:K$33=L$4:L$33)*1,(N$4:N$33=AY15)*(I$4:I$33=BR13)*(K$4:K$33&lt;&gt;"")*(L$4:L$33&lt;&gt;"")*(K$4:K$33&lt;L$4:L$33)*3,(I$4:I$33=AY15)*(N$4:N$33=BR13)*(K$4:K$33&lt;&gt;"")*(L$4:L$33&lt;&gt;"")*(K$4:K$33=L$4:L$33)*1)</f>
        <v>0</v>
      </c>
      <c r="BS15" s="295">
        <f t="array" aca="1" ref="BS15" ca="1">SUM((I$4:I$33=AY15)*(N$4:N$33=BS13)*(K$4:K$33&lt;&gt;"")*(L$4:L$33&lt;&gt;"")*(K$4:K$33&gt;L$4:L$33)*3,(N$4:N$33=AY15)*(I$4:I$33=BS13)*(K$4:K$33&lt;&gt;"")*(L$4:L$33&lt;&gt;"")*(K$4:K$33=L$4:L$33)*1,(N$4:N$33=AY15)*(I$4:I$33=BS13)*(K$4:K$33&lt;&gt;"")*(L$4:L$33&lt;&gt;"")*(K$4:K$33&lt;L$4:L$33)*3,(I$4:I$33=AY15)*(N$4:N$33=BS13)*(K$4:K$33&lt;&gt;"")*(L$4:L$33&lt;&gt;"")*(K$4:K$33=L$4:L$33)*1)</f>
        <v>0</v>
      </c>
      <c r="BT15" s="268">
        <v>2</v>
      </c>
      <c r="BU15" s="268">
        <f ca="1">RANK(BW15,$BW$14:$BW$17)</f>
        <v>2</v>
      </c>
      <c r="BV15" s="268" t="str">
        <f ca="1">A14</f>
        <v>Ecuador</v>
      </c>
      <c r="BW15" s="268">
        <f ca="1">IF(AK15=0,-($AW$10*VLOOKUP(AI15,Tabla3[[NombreEquipo]:[Rank]],3,FALSE)),AJ15*$AW$4+AQ15*$AW$5+AO15*$AW$6+BA15-($AW$10*VLOOKUP(AI15,Tabla3[[NombreEquipo]:[Rank]],3,FALSE)/100))</f>
        <v>-6</v>
      </c>
      <c r="BX15" s="268" t="str">
        <f ca="1">VLOOKUP(Q15,$AH$14:$AI$17,2,0)</f>
        <v>Ecuador</v>
      </c>
      <c r="BY15" s="268">
        <f ca="1">VLOOKUP($BX15,$AI$14:$AR$17,10,FALSE)</f>
        <v>-6</v>
      </c>
      <c r="CC15" s="268">
        <f t="shared" ref="CC15:CC17" ca="1" si="10">RANK(CE15,$CE$14:$CE$17)</f>
        <v>2</v>
      </c>
      <c r="CD15" s="268" t="str">
        <f ca="1">A14</f>
        <v>Ecuador</v>
      </c>
      <c r="CE15" s="268">
        <f ca="1">IF(AK15=0,-($AW$10*VLOOKUP(AI15,Tabla3[[NombreEquipo]:[Rank]],3,FALSE)),AJ15*$AW$4+AQ15*$AW$5+AO15*$AW$6+BA15-($AW$10*VLOOKUP(AI15,Tabla3[[NombreEquipo]:[Rank]],3,FALSE)/100))</f>
        <v>-6</v>
      </c>
      <c r="CF15" s="268">
        <f ca="1">IF(AK15=0,-($AW$10*VLOOKUP(AI15,Tabla3[[NombreEquipo]:[Rank]],3,FALSE)),AJ15*$AW$4+AQ15*$AW$5+AO15*$AW$6+BA15)</f>
        <v>-6</v>
      </c>
      <c r="CG15" s="268">
        <v>2</v>
      </c>
      <c r="CH15" s="268" t="str">
        <f t="shared" ref="CH15:CH17" ca="1" si="11">VLOOKUP(CG15,$CC$14:$CD$17,2,0)</f>
        <v>Ecuador</v>
      </c>
      <c r="CI15" s="268">
        <f t="shared" ref="CI15:CI17" ca="1" si="12">VLOOKUP(CG15,$CC$14:$CF$17,4,0)</f>
        <v>-6</v>
      </c>
      <c r="CJ15" s="268">
        <f t="shared" ref="CJ15:CJ17" ca="1" si="13">COUNTIF($CI$14:$CI$17,CI15)</f>
        <v>1</v>
      </c>
      <c r="CM15" s="268">
        <v>2</v>
      </c>
      <c r="CN15" s="268">
        <f ca="1">HLOOKUP(CL14,$CX$4:$DE$9,4,0)</f>
        <v>2</v>
      </c>
      <c r="EG15" s="295"/>
      <c r="EI15" s="295"/>
      <c r="EK15" s="295"/>
    </row>
    <row r="16" spans="1:141 5661:5661 8916:8916 13419:13419" x14ac:dyDescent="0.3">
      <c r="A16" s="234" t="str">
        <f t="array" aca="1" ref="A16" ca="1">IF(ROWS(A$13:A16)&lt;=$C$12,INDEX(INDIRECT(A$12),SMALL(IF(Nivell=$B$12,ROW(Nivell)-ROW(Equipos!$C$2)+1),ROWS(B$12:B15))),"")</f>
        <v>Jamaica</v>
      </c>
      <c r="B16" s="235"/>
      <c r="C16" s="164"/>
      <c r="D16" s="150"/>
      <c r="E16" s="636"/>
      <c r="F16" s="19">
        <f>Horarios!C16</f>
        <v>45474.041666666672</v>
      </c>
      <c r="G16" s="20">
        <f>Horarios!C16</f>
        <v>45474.041666666672</v>
      </c>
      <c r="H16" s="19" t="str">
        <f>$H$8</f>
        <v>J3</v>
      </c>
      <c r="I16" s="21" t="str">
        <f ca="1">A13</f>
        <v>México</v>
      </c>
      <c r="J16" s="22" t="str">
        <f ca="1">VLOOKUP(I16,Equipos!$K$2:$L$21,2,0)</f>
        <v>🇲🇽</v>
      </c>
      <c r="K16" s="559"/>
      <c r="L16" s="559"/>
      <c r="M16" s="28" t="str">
        <f ca="1">VLOOKUP(N16,Equipos!$K$2:$L$21,2,0)</f>
        <v>🇪🇨</v>
      </c>
      <c r="N16" s="48" t="str">
        <f ca="1">A14</f>
        <v>Ecuador</v>
      </c>
      <c r="O16" s="87">
        <f t="shared" si="8"/>
        <v>0</v>
      </c>
      <c r="P16" s="84"/>
      <c r="Q16" s="126">
        <v>3</v>
      </c>
      <c r="R16" s="3" t="str">
        <f ca="1">VLOOKUP(Q16,$AG$14:$AI$17,3,0)</f>
        <v>Venezuela</v>
      </c>
      <c r="S16" s="2">
        <f ca="1">VLOOKUP(R16,$AI$14:$AR$17,2,FALSE)</f>
        <v>0</v>
      </c>
      <c r="T16" s="2">
        <f ca="1">VLOOKUP($R16,$AI$14:$AR$17,3,FALSE)</f>
        <v>0</v>
      </c>
      <c r="U16" s="2">
        <f ca="1">VLOOKUP($R16,$AI$14:$AR$17,4,FALSE)</f>
        <v>0</v>
      </c>
      <c r="V16" s="2">
        <f ca="1">VLOOKUP($R16,$AI$14:$AR$17,5,FALSE)</f>
        <v>0</v>
      </c>
      <c r="W16" s="2">
        <f ca="1">VLOOKUP($R16,$AI$14:$AR$17,6,FALSE)</f>
        <v>0</v>
      </c>
      <c r="X16" s="2">
        <f ca="1">VLOOKUP($R16,$AI$14:$AR$17,7,FALSE)</f>
        <v>0</v>
      </c>
      <c r="Y16" s="2">
        <f ca="1">VLOOKUP($R16,$AI$14:$AR$17,8,FALSE)</f>
        <v>0</v>
      </c>
      <c r="Z16" s="127">
        <f ca="1">VLOOKUP($R16,$AI$14:$AR$17,9,FALSE)</f>
        <v>0</v>
      </c>
      <c r="AA16" s="75">
        <f ca="1">IF(SUM($AK$14:$AK$17)=12,MIN(ABS(BY15-BY16),ABS(BY16-BY17)),100)</f>
        <v>100</v>
      </c>
      <c r="AB16" s="94" t="str">
        <f ca="1">IF(AND(AA16&gt;=0,AA16&lt;90),VLOOKUP(Q16,$BU$14:$BV$17,2,0),"")</f>
        <v/>
      </c>
      <c r="AC16" s="74"/>
      <c r="AD16" s="75"/>
      <c r="AE16" s="72"/>
      <c r="AF16" s="293"/>
      <c r="AG16" s="268">
        <f ca="1">RANK(AU16,$AU$14:$AU$17)</f>
        <v>3</v>
      </c>
      <c r="AH16" s="268">
        <f ca="1">RANK(AR16,$AR$14:$AR$17)</f>
        <v>3</v>
      </c>
      <c r="AI16" s="268" t="str">
        <f ca="1">A15</f>
        <v>Venezuela</v>
      </c>
      <c r="AJ16" s="268">
        <f ca="1">AL16*3+AM16*1+AN16*0</f>
        <v>0</v>
      </c>
      <c r="AK16" s="268">
        <f ca="1">COUNTIFS($I$4:$I$33,AI16,$K$4:$K$33,"&lt;&gt;",$L$4:$L$33,"&lt;&gt;")+COUNTIFS($N$4:$N$33,AI16,$L$4:$L$33,"&lt;&gt;",$K$4:$K$33,"&lt;&gt;")</f>
        <v>0</v>
      </c>
      <c r="AL16" s="268">
        <f t="array" aca="1" ref="AL16" ca="1">SUM(($I$4:$I$33=AI16)*($K$4:$K$33&lt;&gt;"")*($L$4:$L$33&lt;&gt;"")*($K$4:$K$33&gt;$L$4:$L$33),($N$4:$N$33=AI16)*($K$4:$K$33&lt;&gt;"")*($L$4:$L$33&lt;&gt;"")*($K$4:$K$33&lt;$L$4:$L$33))</f>
        <v>0</v>
      </c>
      <c r="AM16" s="268">
        <f t="array" aca="1" ref="AM16" ca="1">SUM(($I$4:$I$33=AI16)*($K$4:$K$33&lt;&gt;"")*($L$4:$L$33&lt;&gt;"")*($K$4:$K$33=$L$4:$L$33),($N$4:$N$33=AI16)*($K$4:$K$33&lt;&gt;"")*($L$4:$L$33&lt;&gt;"")*($K$4:$K$33=$L$4:$L$33))</f>
        <v>0</v>
      </c>
      <c r="AN16" s="268">
        <f t="array" aca="1" ref="AN16" ca="1">SUM(($I$4:$I$33=AI16)*($L$4:$L$33&lt;&gt;"")*($K$4:$K$33&lt;&gt;"")*($K$4:$K$33&lt;$L$4:$L$33),($K$4:$K$33&lt;&gt;"")*($N$4:$N$33=AI16)*($L$4:$L$33&lt;&gt;"")*($K$4:$K$33&gt;$L$4:$L$33))</f>
        <v>0</v>
      </c>
      <c r="AO16" s="268">
        <f t="array" aca="1" ref="AO16" ca="1">SUMIFS($K$4:$K$33,$I$4:$I$33,AI16,$K$4:$K$33,"&lt;&gt;",$L$4:$L$33,"&lt;&gt;")+SUMIFS($L$4:$L$33,$N$4:$N$33,AI16,$K$4:$K$33,"&lt;&gt;",$L$4:$L$33,"&lt;&gt;")</f>
        <v>0</v>
      </c>
      <c r="AP16" s="268">
        <f t="array" aca="1" ref="AP16" ca="1">SUMIFS($K$4:$K$33,$N$4:$N$33,AI16,$K$4:$K$33,"&lt;&gt;",$L$4:$L$33,"&lt;&gt;")+SUMIFS($L$4:$L$33,$I$4:$I$33,AI16,$K$4:$K$33,"&lt;&gt;",$L$4:$L$33,"&lt;&gt;")</f>
        <v>0</v>
      </c>
      <c r="AQ16" s="268">
        <f ca="1">AO16-AP16</f>
        <v>0</v>
      </c>
      <c r="AR16" s="268">
        <f ca="1">IF(AK16=0,-($AW$10*VLOOKUP(AI16,Tabla3[[NombreEquipo]:[Rank]],3,FALSE)),AJ16*$AW$4+AQ16*$AW$5+AO16*$AW$6+BA16-($AW$10*VLOOKUP(AI16,Tabla3[[NombreEquipo]:[Rank]],3,FALSE)/100))</f>
        <v>-7</v>
      </c>
      <c r="AS16" s="268">
        <f ca="1">AH16</f>
        <v>3</v>
      </c>
      <c r="AU16" s="268">
        <f ca="1">IFERROR(AR16-VLOOKUP(AI16,$AB$14:$AC$17,2,0),AR16)</f>
        <v>-7</v>
      </c>
      <c r="AW16" s="294"/>
      <c r="AY16" s="297" t="str">
        <f ca="1">AI16</f>
        <v>Venezuela</v>
      </c>
      <c r="AZ16" s="268">
        <f ca="1">COUNTIF(AJ14:AJ17,AJ16)</f>
        <v>4</v>
      </c>
      <c r="BA16" s="268">
        <f ca="1">(BB16*$AW$9)+(BH16*$AW$8)+(BN16*$AW$7)</f>
        <v>111000</v>
      </c>
      <c r="BB16" s="295">
        <f ca="1">RANK(BC16,BC14:BC17,1)</f>
        <v>1</v>
      </c>
      <c r="BC16" s="295">
        <f ca="1">SUM(IF(AND(AJ16=AJ17,AQ16=AQ17,AO16=AO17),BG16,0),IF(AND(AJ16=AJ14,AQ16=AQ14,AO16=AO14),BD16,0),IF(AND(AJ16=AJ15,AQ16=AQ15,AO16=AO15),BE16,0))</f>
        <v>0</v>
      </c>
      <c r="BD16" s="295">
        <f t="array" aca="1" ref="BD16" ca="1">SUMIFS($K$12:$K$17,$I$12:$I$17,$AY16,$K$12:$K$17,"&lt;&gt;",$L$12:$L$17,"&lt;&gt;",$N$12:$N$17,BD13)+SUMIFS($L$12:$L$17,$I$12:$I$17,BD13,$K$12:$K$17,"&lt;&gt;",$L$12:$L$17,"&lt;&gt;",$N$12:$N$17,$AY16)</f>
        <v>0</v>
      </c>
      <c r="BE16" s="295">
        <f t="array" aca="1" ref="BE16" ca="1">SUMIFS($K$12:$K$17,$I$12:$I$17,$AY16,$K$12:$K$17,"&lt;&gt;",$L$12:$L$17,"&lt;&gt;",$N$12:$N$17,BE13)+SUMIFS($L$12:$L$17,$I$12:$I$17,BE13,$K$12:$K$17,"&lt;&gt;",$L$12:$L$17,"&lt;&gt;",$N$12:$N$17,$AY16)</f>
        <v>0</v>
      </c>
      <c r="BF16" s="295">
        <v>0</v>
      </c>
      <c r="BG16" s="295">
        <f t="array" aca="1" ref="BG16" ca="1">SUMIFS($K$12:$K$17,$I$12:$I$17,$AY16,$K$12:$K$17,"&lt;&gt;",$L$12:$L$17,"&lt;&gt;",$N$12:$N$17,BG13)+SUMIFS($L$12:$L$17,$I$12:$I$17,BG13,$K$12:$K$17,"&lt;&gt;",$L$12:$L$17,"&lt;&gt;",$N$12:$N$17,$AY16)</f>
        <v>0</v>
      </c>
      <c r="BH16" s="295">
        <f ca="1">RANK(BI16,BI14:BI17,1)</f>
        <v>1</v>
      </c>
      <c r="BI16" s="295">
        <f ca="1">SUM(IF(AND(AJ16=AJ17,AQ16=AQ17,AO16=AO17),BM16,0),IF(AND(AJ16=AJ14,AQ16=AQ14,AO16=AO14),BJ16,0),IF(AND(AJ16=AJ15,AQ16=AQ15,AO16=AO15),BK16,0))</f>
        <v>0</v>
      </c>
      <c r="BJ16" s="295">
        <f ca="1">BD16-BF14</f>
        <v>0</v>
      </c>
      <c r="BK16" s="295">
        <f ca="1">BE16-BF15</f>
        <v>0</v>
      </c>
      <c r="BL16" s="295">
        <v>0</v>
      </c>
      <c r="BM16" s="295">
        <f ca="1">BG16-BF17</f>
        <v>0</v>
      </c>
      <c r="BN16" s="295">
        <f ca="1">RANK(BO16,BO14:BO17,1)</f>
        <v>1</v>
      </c>
      <c r="BO16" s="295">
        <f ca="1">SUM(IF(AND(AJ16=AJ17,AQ16=AQ17,AO16=AO17),BS16,0),IF(AND(AJ16=AJ14,AQ16=AQ14,AO16=AO14),BP16,0),IF(AND(AJ16=AJ15,AQ16=AQ15,AO16=AO15),BQ16,0))</f>
        <v>0</v>
      </c>
      <c r="BP16" s="295">
        <f t="array" aca="1" ref="BP16" ca="1">SUM((I$4:I$33=AY16)*(N$4:N$33=BP13)*(K$4:K$33&lt;&gt;"")*(L$4:L$33&lt;&gt;"")*(K$4:K$33&gt;L$4:L$33)*3,(N$4:N$33=AY16)*(I$4:I$33=BP13)*(K$4:K$33&lt;&gt;"")*(L$4:L$33&lt;&gt;"")*(K$4:K$33=L$4:L$33)*1,(N$4:N$33=AY16)*(I$4:I$33=BP13)*(K$4:K$33&lt;&gt;"")*(L$4:L$33&lt;&gt;"")*(K$4:K$33&lt;L$4:L$33)*3,(I$4:I$33=AY16)*(N$4:N$33=BP13)*(K$4:K$33&lt;&gt;"")*(L$4:L$33&lt;&gt;"")*(K$4:K$33=L$4:L$33)*1)</f>
        <v>0</v>
      </c>
      <c r="BQ16" s="295">
        <f t="array" aca="1" ref="BQ16" ca="1">SUM((I$4:I$33=AY16)*(N$4:N$33=BQ13)*(K$4:K$33&lt;&gt;"")*(L$4:L$33&lt;&gt;"")*(K$4:K$33&gt;L$4:L$33)*3,(N$4:N$33=AY16)*(I$4:I$33=BQ13)*(K$4:K$33&lt;&gt;"")*(L$4:L$33&lt;&gt;"")*(K$4:K$33=L$4:L$33)*1,(N$4:N$33=AY16)*(I$4:I$33=BQ13)*(K$4:K$33&lt;&gt;"")*(L$4:L$33&lt;&gt;"")*(K$4:K$33&lt;L$4:L$33)*3,(I$4:I$33=AY16)*(N$4:N$33=BQ13)*(K$4:K$33&lt;&gt;"")*(L$4:L$33&lt;&gt;"")*(K$4:K$33=L$4:L$33)*1)</f>
        <v>0</v>
      </c>
      <c r="BR16" s="295">
        <v>0</v>
      </c>
      <c r="BS16" s="295">
        <f t="array" aca="1" ref="BS16" ca="1">SUM((I$4:I$33=AY16)*(N$4:N$33=BS13)*(K$4:K$33&lt;&gt;"")*(L$4:L$33&lt;&gt;"")*(K$4:K$33&gt;L$4:L$33)*3,(N$4:N$33=AY16)*(I$4:I$33=BS13)*(K$4:K$33&lt;&gt;"")*(L$4:L$33&lt;&gt;"")*(K$4:K$33=L$4:L$33)*1,(N$4:N$33=AY16)*(I$4:I$33=BS13)*(K$4:K$33&lt;&gt;"")*(L$4:L$33&lt;&gt;"")*(K$4:K$33&lt;L$4:L$33)*3,(I$4:I$33=AY16)*(N$4:N$33=BS13)*(K$4:K$33&lt;&gt;"")*(L$4:L$33&lt;&gt;"")*(K$4:K$33=L$4:L$33)*1)</f>
        <v>0</v>
      </c>
      <c r="BT16" s="268">
        <v>3</v>
      </c>
      <c r="BU16" s="268">
        <f ca="1">RANK(BW16,$BW$14:$BW$17)</f>
        <v>3</v>
      </c>
      <c r="BV16" s="268" t="str">
        <f ca="1">A15</f>
        <v>Venezuela</v>
      </c>
      <c r="BW16" s="268">
        <f ca="1">IF(AK16=0,-($AW$10*VLOOKUP(AI16,Tabla3[[NombreEquipo]:[Rank]],3,FALSE)),AJ16*$AW$4+AQ16*$AW$5+AO16*$AW$6+BA16-($AW$10*VLOOKUP(AI16,Tabla3[[NombreEquipo]:[Rank]],3,FALSE)/100))</f>
        <v>-7</v>
      </c>
      <c r="BX16" s="268" t="str">
        <f ca="1">VLOOKUP(Q16,$AH$14:$AI$17,2,0)</f>
        <v>Venezuela</v>
      </c>
      <c r="BY16" s="268">
        <f ca="1">VLOOKUP($BX16,$AI$14:$AR$17,10,FALSE)</f>
        <v>-7</v>
      </c>
      <c r="CC16" s="268">
        <f t="shared" ca="1" si="10"/>
        <v>3</v>
      </c>
      <c r="CD16" s="268" t="str">
        <f ca="1">A15</f>
        <v>Venezuela</v>
      </c>
      <c r="CE16" s="268">
        <f ca="1">IF(AK16=0,-($AW$10*VLOOKUP(AI16,Tabla3[[NombreEquipo]:[Rank]],3,FALSE)),AJ16*$AW$4+AQ16*$AW$5+AO16*$AW$6+BA16-($AW$10*VLOOKUP(AI16,Tabla3[[NombreEquipo]:[Rank]],3,FALSE)/100))</f>
        <v>-7</v>
      </c>
      <c r="CF16" s="268">
        <f ca="1">IF(AK16=0,-($AW$10*VLOOKUP(AI16,Tabla3[[NombreEquipo]:[Rank]],3,FALSE)),AJ16*$AW$4+AQ16*$AW$5+AO16*$AW$6+BA16)</f>
        <v>-7</v>
      </c>
      <c r="CG16" s="268">
        <v>3</v>
      </c>
      <c r="CH16" s="268" t="str">
        <f t="shared" ca="1" si="11"/>
        <v>Venezuela</v>
      </c>
      <c r="CI16" s="268">
        <f t="shared" ca="1" si="12"/>
        <v>-7</v>
      </c>
      <c r="CJ16" s="268">
        <f t="shared" ca="1" si="13"/>
        <v>1</v>
      </c>
      <c r="CM16" s="268">
        <v>3</v>
      </c>
      <c r="CN16" s="268">
        <f ca="1">HLOOKUP(CL14,$CX$4:$DE$9,5,0)</f>
        <v>3</v>
      </c>
      <c r="EG16" s="295"/>
      <c r="EI16" s="295"/>
      <c r="EK16" s="295"/>
    </row>
    <row r="17" spans="1:141" ht="15" thickBot="1" x14ac:dyDescent="0.35">
      <c r="A17" s="162"/>
      <c r="B17" s="235"/>
      <c r="C17" s="162"/>
      <c r="D17" s="150"/>
      <c r="E17" s="637"/>
      <c r="F17" s="49">
        <f>Horarios!C17</f>
        <v>45474.041666666672</v>
      </c>
      <c r="G17" s="50">
        <f>Horarios!C17</f>
        <v>45474.041666666672</v>
      </c>
      <c r="H17" s="49" t="str">
        <f>$H$8</f>
        <v>J3</v>
      </c>
      <c r="I17" s="51" t="str">
        <f ca="1">A16</f>
        <v>Jamaica</v>
      </c>
      <c r="J17" s="52" t="str">
        <f ca="1">VLOOKUP(I17,Equipos!$K$2:$L$21,2,0)</f>
        <v>🇯🇲</v>
      </c>
      <c r="K17" s="560"/>
      <c r="L17" s="560"/>
      <c r="M17" s="53" t="str">
        <f ca="1">VLOOKUP(N17,Equipos!$K$2:$L$21,2,0)</f>
        <v>🇻🇪</v>
      </c>
      <c r="N17" s="54" t="str">
        <f ca="1">A15</f>
        <v>Venezuela</v>
      </c>
      <c r="O17" s="87">
        <f t="shared" si="8"/>
        <v>0</v>
      </c>
      <c r="P17" s="84"/>
      <c r="Q17" s="128">
        <v>4</v>
      </c>
      <c r="R17" s="129" t="str">
        <f ca="1">VLOOKUP(Q17,$AG$14:$AI$17,3,0)</f>
        <v>Jamaica</v>
      </c>
      <c r="S17" s="130">
        <f ca="1">VLOOKUP(R17,$AI$14:$AR$17,2,FALSE)</f>
        <v>0</v>
      </c>
      <c r="T17" s="130">
        <f ca="1">VLOOKUP($R17,$AI$14:$AR$17,3,FALSE)</f>
        <v>0</v>
      </c>
      <c r="U17" s="130">
        <f ca="1">VLOOKUP($R17,$AI$14:$AR$17,4,FALSE)</f>
        <v>0</v>
      </c>
      <c r="V17" s="130">
        <f ca="1">VLOOKUP($R17,$AI$14:$AR$17,5,FALSE)</f>
        <v>0</v>
      </c>
      <c r="W17" s="130">
        <f ca="1">VLOOKUP($R17,$AI$14:$AR$17,6,FALSE)</f>
        <v>0</v>
      </c>
      <c r="X17" s="130">
        <f ca="1">VLOOKUP($R17,$AI$14:$AR$17,7,FALSE)</f>
        <v>0</v>
      </c>
      <c r="Y17" s="130">
        <f ca="1">VLOOKUP($R17,$AI$14:$AR$17,8,FALSE)</f>
        <v>0</v>
      </c>
      <c r="Z17" s="131">
        <f ca="1">VLOOKUP($R17,$AI$14:$AR$17,9,FALSE)</f>
        <v>0</v>
      </c>
      <c r="AA17" s="75">
        <f ca="1">IF(SUM($AK$14:$AK$17)=12,MIN(ABS(BY16-BY17),ABS(BY17-BY18)),100)</f>
        <v>100</v>
      </c>
      <c r="AB17" s="94" t="str">
        <f ca="1">IF(AND(AA17&gt;=0,AA17&lt;90),VLOOKUP(Q17,$BU$14:$BV$17,2,0),"")</f>
        <v/>
      </c>
      <c r="AC17" s="74"/>
      <c r="AD17" s="75"/>
      <c r="AE17" s="72"/>
      <c r="AF17" s="293"/>
      <c r="AG17" s="268">
        <f ca="1">RANK(AU17,$AU$14:$AU$17)</f>
        <v>4</v>
      </c>
      <c r="AH17" s="268">
        <f ca="1">RANK(AR17,$AR$14:$AR$17)</f>
        <v>4</v>
      </c>
      <c r="AI17" s="268" t="str">
        <f ca="1">A16</f>
        <v>Jamaica</v>
      </c>
      <c r="AJ17" s="268">
        <f ca="1">AL17*3+AM17*1+AN17*0</f>
        <v>0</v>
      </c>
      <c r="AK17" s="268">
        <f ca="1">COUNTIFS($I$4:$I$33,AI17,$K$4:$K$33,"&lt;&gt;",$L$4:$L$33,"&lt;&gt;")+COUNTIFS($N$4:$N$33,AI17,$L$4:$L$33,"&lt;&gt;",$K$4:$K$33,"&lt;&gt;")</f>
        <v>0</v>
      </c>
      <c r="AL17" s="268">
        <f t="array" aca="1" ref="AL17" ca="1">SUM(($I$4:$I$33=AI17)*($K$4:$K$33&lt;&gt;"")*($L$4:$L$33&lt;&gt;"")*($K$4:$K$33&gt;$L$4:$L$33),($N$4:$N$33=AI17)*($K$4:$K$33&lt;&gt;"")*($L$4:$L$33&lt;&gt;"")*($K$4:$K$33&lt;$L$4:$L$33))</f>
        <v>0</v>
      </c>
      <c r="AM17" s="268">
        <f t="array" aca="1" ref="AM17" ca="1">SUM(($I$4:$I$33=AI17)*($K$4:$K$33&lt;&gt;"")*($L$4:$L$33&lt;&gt;"")*($K$4:$K$33=$L$4:$L$33),($N$4:$N$33=AI17)*($K$4:$K$33&lt;&gt;"")*($L$4:$L$33&lt;&gt;"")*($K$4:$K$33=$L$4:$L$33))</f>
        <v>0</v>
      </c>
      <c r="AN17" s="268">
        <f t="array" aca="1" ref="AN17" ca="1">SUM(($I$4:$I$33=AI17)*($L$4:$L$33&lt;&gt;"")*($K$4:$K$33&lt;&gt;"")*($K$4:$K$33&lt;$L$4:$L$33),($K$4:$K$33&lt;&gt;"")*($N$4:$N$33=AI17)*($L$4:$L$33&lt;&gt;"")*($K$4:$K$33&gt;$L$4:$L$33))</f>
        <v>0</v>
      </c>
      <c r="AO17" s="268">
        <f t="array" aca="1" ref="AO17" ca="1">SUMIFS($K$4:$K$33,$I$4:$I$33,AI17,$K$4:$K$33,"&lt;&gt;",$L$4:$L$33,"&lt;&gt;")+SUMIFS($L$4:$L$33,$N$4:$N$33,AI17,$K$4:$K$33,"&lt;&gt;",$L$4:$L$33,"&lt;&gt;")</f>
        <v>0</v>
      </c>
      <c r="AP17" s="268">
        <f t="array" aca="1" ref="AP17" ca="1">SUMIFS($K$4:$K$33,$N$4:$N$33,AI17,$K$4:$K$33,"&lt;&gt;",$L$4:$L$33,"&lt;&gt;")+SUMIFS($L$4:$L$33,$I$4:$I$33,AI17,$K$4:$K$33,"&lt;&gt;",$L$4:$L$33,"&lt;&gt;")</f>
        <v>0</v>
      </c>
      <c r="AQ17" s="268">
        <f ca="1">AO17-AP17</f>
        <v>0</v>
      </c>
      <c r="AR17" s="268">
        <f ca="1">IF(AK17=0,-($AW$10*VLOOKUP(AI17,Tabla3[[NombreEquipo]:[Rank]],3,FALSE)),AJ17*$AW$4+AQ17*$AW$5+AO17*$AW$6+BA17-($AW$10*VLOOKUP(AI17,Tabla3[[NombreEquipo]:[Rank]],3,FALSE)/100))</f>
        <v>-8</v>
      </c>
      <c r="AS17" s="268">
        <f ca="1">AH17</f>
        <v>4</v>
      </c>
      <c r="AU17" s="268">
        <f ca="1">IFERROR(AR17-VLOOKUP(AI17,$AB$14:$AC$17,2,0),AR17)</f>
        <v>-8</v>
      </c>
      <c r="AW17" s="294"/>
      <c r="AY17" s="297" t="str">
        <f ca="1">AI17</f>
        <v>Jamaica</v>
      </c>
      <c r="AZ17" s="268">
        <f ca="1">COUNTIF(AJ14:AJ17,AJ17)</f>
        <v>4</v>
      </c>
      <c r="BA17" s="268">
        <f ca="1">(BB17*$AW$9)+(BH17*$AW$8)+(BN17*$AW$7)</f>
        <v>111000</v>
      </c>
      <c r="BB17" s="295">
        <f ca="1">RANK(BC17,BC14:BC17,1)</f>
        <v>1</v>
      </c>
      <c r="BC17" s="295">
        <f ca="1">SUM(IF(AND(AJ17=AJ14,AQ17=AQ14,AO17=AO14),BD17,0),IF(AND(AJ17=AJ15,AQ17=AQ15,AO17=AO15),BE17,0),IF(AND(AJ17=AJ16,AQ17=AQ16,AO17=AO16),BF17,0))</f>
        <v>0</v>
      </c>
      <c r="BD17" s="295">
        <f t="array" aca="1" ref="BD17" ca="1">SUMIFS($K$12:$K$17,$I$12:$I$17,$AY17,$K$12:$K$17,"&lt;&gt;",$L$12:$L$17,"&lt;&gt;",$N$12:$N$17,BD13)+SUMIFS($L$12:$L$17,$I$12:$I$17,BD13,$K$12:$K$17,"&lt;&gt;",$L$12:$L$17,"&lt;&gt;",$N$12:$N$17,$AY17)</f>
        <v>0</v>
      </c>
      <c r="BE17" s="295">
        <f t="array" aca="1" ref="BE17" ca="1">SUMIFS($K$12:$K$17,$I$12:$I$17,$AY17,$K$12:$K$17,"&lt;&gt;",$L$12:$L$17,"&lt;&gt;",$N$12:$N$17,BE13)+SUMIFS($L$12:$L$17,$I$12:$I$17,BE13,$K$12:$K$17,"&lt;&gt;",$L$12:$L$17,"&lt;&gt;",$N$12:$N$17,$AY17)</f>
        <v>0</v>
      </c>
      <c r="BF17" s="295">
        <f t="array" aca="1" ref="BF17" ca="1">SUMIFS($K$12:$K$17,$I$12:$I$17,$AY17,$K$12:$K$17,"&lt;&gt;",$L$12:$L$17,"&lt;&gt;",$N$12:$N$17,BF13)+SUMIFS($L$12:$L$17,$I$12:$I$17,BF13,$K$12:$K$17,"&lt;&gt;",$L$12:$L$17,"&lt;&gt;",$N$12:$N$17,$AY17)</f>
        <v>0</v>
      </c>
      <c r="BG17" s="295">
        <v>0</v>
      </c>
      <c r="BH17" s="295">
        <f ca="1">RANK(BI17,BI14:BI17,1)</f>
        <v>1</v>
      </c>
      <c r="BI17" s="295">
        <f ca="1">SUM(IF(AND(AJ17=AJ14,AQ17=AQ14,AO17=AO14),BJ17,0),IF(AND(AJ17=AJ15,AQ17=AQ15,AO17=AO15),BK17,0),IF(AND(AJ17=AJ16,AQ17=AQ16,AO17=AO16),BL17,0))</f>
        <v>0</v>
      </c>
      <c r="BJ17" s="295">
        <f ca="1">BD17-BG14</f>
        <v>0</v>
      </c>
      <c r="BK17" s="295">
        <f ca="1">BE17-BG15</f>
        <v>0</v>
      </c>
      <c r="BL17" s="295">
        <f ca="1">BF17-BG16</f>
        <v>0</v>
      </c>
      <c r="BM17" s="295">
        <v>0</v>
      </c>
      <c r="BN17" s="295">
        <f ca="1">RANK(BO17,BO14:BO17,1)</f>
        <v>1</v>
      </c>
      <c r="BO17" s="295">
        <f ca="1">SUM(IF(AND(AJ17=AJ14,AQ17=AQ14,AO17=AO14),BP17,0),IF(AND(AJ17=AJ15,AQ17=AQ15,AO17=AO15),BQ17,0),IF(AND(AJ17=AJ16,AQ17=AQ16,AO17=AO16),BR17,0))</f>
        <v>0</v>
      </c>
      <c r="BP17" s="295">
        <f t="array" aca="1" ref="BP17" ca="1">SUM((I$4:I$33=AY17)*(N$4:N$33=BP13)*(K$4:K$33&lt;&gt;"")*(L$4:L$33&lt;&gt;"")*(K$4:K$33&gt;L$4:L$33)*3,(N$4:N$33=AY17)*(I$4:I$33=BP13)*(K$4:K$33&lt;&gt;"")*(L$4:L$33&lt;&gt;"")*(K$4:K$33=L$4:L$33)*1,(N$4:N$33=AY17)*(I$4:I$33=BP13)*(K$4:K$33&lt;&gt;"")*(L$4:L$33&lt;&gt;"")*(K$4:K$33&lt;L$4:L$33)*3,(I$4:I$33=AY17)*(N$4:N$33=BP13)*(K$4:K$33&lt;&gt;"")*(L$4:L$33&lt;&gt;"")*(K$4:K$33=L$4:L$33)*1)</f>
        <v>0</v>
      </c>
      <c r="BQ17" s="295">
        <f t="array" aca="1" ref="BQ17" ca="1">SUM((I$4:I$33=AY17)*(N$4:N$33=BQ13)*(K$4:K$33&lt;&gt;"")*(L$4:L$33&lt;&gt;"")*(K$4:K$33&gt;L$4:L$33)*3,(N$4:N$33=AY17)*(I$4:I$33=BQ13)*(K$4:K$33&lt;&gt;"")*(L$4:L$33&lt;&gt;"")*(K$4:K$33=L$4:L$33)*1,(N$4:N$33=AY17)*(I$4:I$33=BQ13)*(K$4:K$33&lt;&gt;"")*(L$4:L$33&lt;&gt;"")*(K$4:K$33&lt;L$4:L$33)*3,(I$4:I$33=AY17)*(N$4:N$33=BQ13)*(K$4:K$33&lt;&gt;"")*(L$4:L$33&lt;&gt;"")*(K$4:K$33=L$4:L$33)*1)</f>
        <v>0</v>
      </c>
      <c r="BR17" s="295">
        <f t="array" aca="1" ref="BR17" ca="1">SUM((I$4:I$33=AY17)*(N$4:N$33=BR13)*(K$4:K$33&lt;&gt;"")*(L$4:L$33&lt;&gt;"")*(K$4:K$33&gt;L$4:L$33)*3,(N$4:N$33=AY17)*(I$4:I$33=BR13)*(K$4:K$33&lt;&gt;"")*(L$4:L$33&lt;&gt;"")*(K$4:K$33=L$4:L$33)*1,(N$4:N$33=AY17)*(I$4:I$33=BR13)*(K$4:K$33&lt;&gt;"")*(L$4:L$33&lt;&gt;"")*(K$4:K$33&lt;L$4:L$33)*3,(I$4:I$33=AY17)*(N$4:N$33=BR13)*(K$4:K$33&lt;&gt;"")*(L$4:L$33&lt;&gt;"")*(K$4:K$33=L$4:L$33)*1)</f>
        <v>0</v>
      </c>
      <c r="BS17" s="295">
        <v>0</v>
      </c>
      <c r="BT17" s="268">
        <v>4</v>
      </c>
      <c r="BU17" s="268">
        <f ca="1">RANK(BW17,$BW$14:$BW$17)</f>
        <v>4</v>
      </c>
      <c r="BV17" s="268" t="str">
        <f ca="1">A16</f>
        <v>Jamaica</v>
      </c>
      <c r="BW17" s="268">
        <f ca="1">IF(AK17=0,-($AW$10*VLOOKUP(AI17,Tabla3[[NombreEquipo]:[Rank]],3,FALSE)),AJ17*$AW$4+AQ17*$AW$5+AO17*$AW$6+BA17-($AW$10*VLOOKUP(AI17,Tabla3[[NombreEquipo]:[Rank]],3,FALSE)/100))</f>
        <v>-8</v>
      </c>
      <c r="BX17" s="268" t="str">
        <f ca="1">VLOOKUP(Q17,$AH$14:$AI$17,2,0)</f>
        <v>Jamaica</v>
      </c>
      <c r="BY17" s="268">
        <f ca="1">VLOOKUP($BX17,$AI$14:$AR$17,10,FALSE)</f>
        <v>-8</v>
      </c>
      <c r="CC17" s="268">
        <f t="shared" ca="1" si="10"/>
        <v>4</v>
      </c>
      <c r="CD17" s="268" t="str">
        <f ca="1">A16</f>
        <v>Jamaica</v>
      </c>
      <c r="CE17" s="268">
        <f ca="1">IF(AK17=0,-($AW$10*VLOOKUP(AI17,Tabla3[[NombreEquipo]:[Rank]],3,FALSE)),AJ17*$AW$4+AQ17*$AW$5+AO17*$AW$6+BA17-($AW$10*VLOOKUP(AI17,Tabla3[[NombreEquipo]:[Rank]],3,FALSE)/100))</f>
        <v>-8</v>
      </c>
      <c r="CF17" s="268">
        <f ca="1">IF(AK17=0,-($AW$10*VLOOKUP(AI17,Tabla3[[NombreEquipo]:[Rank]],3,FALSE)),AJ17*$AW$4+AQ17*$AW$5+AO17*$AW$6+BA17)</f>
        <v>-8</v>
      </c>
      <c r="CG17" s="268">
        <v>4</v>
      </c>
      <c r="CH17" s="268" t="str">
        <f t="shared" ca="1" si="11"/>
        <v>Jamaica</v>
      </c>
      <c r="CI17" s="268">
        <f t="shared" ca="1" si="12"/>
        <v>-8</v>
      </c>
      <c r="CJ17" s="268">
        <f t="shared" ca="1" si="13"/>
        <v>1</v>
      </c>
      <c r="CM17" s="268">
        <v>4</v>
      </c>
      <c r="CN17" s="268">
        <f ca="1">HLOOKUP(CL14,$CX$4:$DE$9,6,0)</f>
        <v>4</v>
      </c>
      <c r="EG17" s="295"/>
      <c r="EI17" s="295"/>
      <c r="EK17" s="295"/>
    </row>
    <row r="18" spans="1:141" x14ac:dyDescent="0.3">
      <c r="A18" s="162"/>
      <c r="B18" s="235"/>
      <c r="C18" s="162"/>
      <c r="D18" s="150"/>
      <c r="E18" s="90"/>
      <c r="F18" s="92"/>
      <c r="G18" s="79"/>
      <c r="H18" s="90"/>
      <c r="I18" s="90"/>
      <c r="J18" s="90"/>
      <c r="K18" s="90"/>
      <c r="L18" s="90"/>
      <c r="M18" s="90"/>
      <c r="N18" s="90"/>
      <c r="O18" s="68"/>
      <c r="P18" s="68"/>
      <c r="Q18" s="68"/>
      <c r="R18" s="68"/>
      <c r="S18" s="68"/>
      <c r="T18" s="68"/>
      <c r="U18" s="68"/>
      <c r="V18" s="68"/>
      <c r="W18" s="68"/>
      <c r="X18" s="68"/>
      <c r="Y18" s="68"/>
      <c r="Z18" s="68"/>
      <c r="AA18" s="68"/>
      <c r="AB18" s="68"/>
      <c r="AC18" s="76"/>
      <c r="AD18" s="75"/>
      <c r="AE18" s="72"/>
      <c r="AF18" s="293"/>
      <c r="AW18" s="294"/>
      <c r="AY18" s="297"/>
      <c r="BB18" s="295"/>
      <c r="BC18" s="295"/>
      <c r="BD18" s="295"/>
      <c r="BE18" s="295"/>
      <c r="BF18" s="295"/>
      <c r="BG18" s="295"/>
      <c r="BH18" s="295"/>
      <c r="BI18" s="295"/>
      <c r="BJ18" s="295"/>
      <c r="BK18" s="295"/>
      <c r="BL18" s="295"/>
      <c r="BM18" s="295"/>
      <c r="BN18" s="295"/>
      <c r="BO18" s="295"/>
      <c r="BP18" s="295"/>
      <c r="BQ18" s="295"/>
      <c r="BR18" s="295"/>
      <c r="BS18" s="295"/>
      <c r="EG18" s="295"/>
      <c r="EI18" s="295"/>
      <c r="EK18" s="295"/>
    </row>
    <row r="19" spans="1:141" ht="15" thickBot="1" x14ac:dyDescent="0.35">
      <c r="A19" s="162"/>
      <c r="B19" s="235"/>
      <c r="C19" s="162"/>
      <c r="D19" s="68"/>
      <c r="E19" s="88"/>
      <c r="F19" s="85" t="str">
        <f>F3</f>
        <v>Fecha</v>
      </c>
      <c r="G19" s="85" t="str">
        <f t="shared" ref="G19:N19" si="14">G3</f>
        <v>Hora</v>
      </c>
      <c r="H19" s="89" t="str">
        <f t="shared" si="14"/>
        <v>Jor.</v>
      </c>
      <c r="I19" s="153" t="str">
        <f t="shared" si="14"/>
        <v>Casa</v>
      </c>
      <c r="J19" s="85"/>
      <c r="K19" s="85" t="str">
        <f t="shared" si="14"/>
        <v>Gol</v>
      </c>
      <c r="L19" s="85" t="str">
        <f t="shared" si="14"/>
        <v>Gol</v>
      </c>
      <c r="M19" s="85"/>
      <c r="N19" s="88" t="str">
        <f t="shared" si="14"/>
        <v>Fuera</v>
      </c>
      <c r="O19" s="70"/>
      <c r="P19" s="70"/>
      <c r="Q19" s="70"/>
      <c r="R19" s="70"/>
      <c r="S19" s="70"/>
      <c r="T19" s="70"/>
      <c r="U19" s="70"/>
      <c r="V19" s="70"/>
      <c r="W19" s="70"/>
      <c r="X19" s="70"/>
      <c r="Y19" s="70"/>
      <c r="Z19" s="70"/>
      <c r="AA19" s="71"/>
      <c r="AB19" s="71"/>
      <c r="AC19" s="71"/>
      <c r="AD19" s="71"/>
      <c r="AE19" s="72"/>
      <c r="AF19" s="293"/>
      <c r="AW19" s="294"/>
      <c r="CA19" s="293"/>
      <c r="CB19" s="293"/>
    </row>
    <row r="20" spans="1:141" ht="15" customHeight="1" x14ac:dyDescent="0.3">
      <c r="A20" s="234" t="s">
        <v>64</v>
      </c>
      <c r="B20" s="235" t="s">
        <v>2</v>
      </c>
      <c r="C20" s="283">
        <f>COUNTIF(Equipos!$C$2:$C$17,'COPA AMERICA'!B20)</f>
        <v>4</v>
      </c>
      <c r="D20" s="150"/>
      <c r="E20" s="644" t="s">
        <v>2</v>
      </c>
      <c r="F20" s="55">
        <f>Horarios!C20</f>
        <v>45466.958333333336</v>
      </c>
      <c r="G20" s="56">
        <f>Horarios!C20</f>
        <v>45466.958333333336</v>
      </c>
      <c r="H20" s="55" t="str">
        <f>$H$4</f>
        <v>J1</v>
      </c>
      <c r="I20" s="57" t="str">
        <f ca="1">A21</f>
        <v>Estados Unidos</v>
      </c>
      <c r="J20" s="58" t="str">
        <f ca="1">VLOOKUP(I20,Equipos!$K$2:$L$21,2,0)</f>
        <v>🇺🇸</v>
      </c>
      <c r="K20" s="561"/>
      <c r="L20" s="561"/>
      <c r="M20" s="59" t="str">
        <f ca="1">VLOOKUP(N20,Equipos!$K$2:$L$21,2,0)</f>
        <v>🇧🇴</v>
      </c>
      <c r="N20" s="60" t="str">
        <f ca="1">A24</f>
        <v>Bolivia</v>
      </c>
      <c r="O20" s="87">
        <f t="shared" ref="O20:O25" si="15">IF(NOT(OR(ISBLANK(K20),ISBLANK(L20))),1,0)</f>
        <v>0</v>
      </c>
      <c r="P20" s="84"/>
      <c r="Q20" s="132" t="str">
        <f>CONCATENATE(Q3," ",B20)</f>
        <v>Grupo C</v>
      </c>
      <c r="R20" s="133"/>
      <c r="S20" s="133"/>
      <c r="T20" s="133"/>
      <c r="U20" s="133"/>
      <c r="V20" s="133"/>
      <c r="W20" s="133"/>
      <c r="X20" s="133"/>
      <c r="Y20" s="133"/>
      <c r="Z20" s="134"/>
      <c r="AA20" s="93"/>
      <c r="AB20" s="631" t="str">
        <f ca="1">IF($AA$21&gt;0,AB3,"")</f>
        <v/>
      </c>
      <c r="AC20" s="631"/>
      <c r="AD20" s="631"/>
      <c r="AE20" s="72"/>
      <c r="AF20" s="293"/>
      <c r="AH20" s="268" t="str">
        <f>CONCATENATE("Auxiliar - ",Q20)</f>
        <v>Auxiliar - Grupo C</v>
      </c>
      <c r="AU20" s="268" t="s">
        <v>41</v>
      </c>
      <c r="AW20" s="294"/>
      <c r="AY20" s="293" t="str">
        <f>CONCATENATE(Q20," - GOLAVERAGE")</f>
        <v>Grupo C - GOLAVERAGE</v>
      </c>
      <c r="BB20" s="268" t="s">
        <v>29</v>
      </c>
      <c r="BH20" s="268" t="s">
        <v>28</v>
      </c>
      <c r="BN20" s="295"/>
      <c r="BO20" s="295"/>
      <c r="BP20" s="295"/>
      <c r="BQ20" s="295"/>
      <c r="BR20" s="295"/>
      <c r="BS20" s="295"/>
      <c r="EK20" s="295"/>
    </row>
    <row r="21" spans="1:141" ht="15" thickBot="1" x14ac:dyDescent="0.35">
      <c r="A21" s="234" t="str">
        <f t="array" aca="1" ref="A21" ca="1">IF(ROWS(A$21:A21)&lt;=$C$20,INDEX(INDIRECT(A$20),SMALL(IF(Nivell=$B$20,ROW(Nivell)-ROW(Equipos!$C$2)+1),ROWS(B$20:B20))),"")</f>
        <v>Estados Unidos</v>
      </c>
      <c r="B21" s="235"/>
      <c r="C21" s="235"/>
      <c r="D21" s="150"/>
      <c r="E21" s="645"/>
      <c r="F21" s="23">
        <f>Horarios!C21</f>
        <v>45467.083333333336</v>
      </c>
      <c r="G21" s="24">
        <f>Horarios!C21</f>
        <v>45467.083333333336</v>
      </c>
      <c r="H21" s="23" t="str">
        <f>$H$4</f>
        <v>J1</v>
      </c>
      <c r="I21" s="25" t="str">
        <f ca="1">A22</f>
        <v>Uruguay</v>
      </c>
      <c r="J21" s="26" t="str">
        <f ca="1">VLOOKUP(I21,Equipos!$K$2:$L$21,2,0)</f>
        <v>🇺🇾</v>
      </c>
      <c r="K21" s="562"/>
      <c r="L21" s="562"/>
      <c r="M21" s="27" t="str">
        <f ca="1">VLOOKUP(N21,Equipos!$K$2:$L$21,2,0)</f>
        <v>🇵🇦</v>
      </c>
      <c r="N21" s="61" t="str">
        <f ca="1">A23</f>
        <v>Panamá</v>
      </c>
      <c r="O21" s="87">
        <f t="shared" si="15"/>
        <v>0</v>
      </c>
      <c r="P21" s="84"/>
      <c r="Q21" s="135" t="str">
        <f>Q5</f>
        <v>Pos</v>
      </c>
      <c r="R21" s="136" t="str">
        <f>R5</f>
        <v>Selección</v>
      </c>
      <c r="S21" s="282" t="str">
        <f t="shared" ref="S21:Y21" si="16">S5</f>
        <v>Pts</v>
      </c>
      <c r="T21" s="282" t="str">
        <f t="shared" si="16"/>
        <v>J</v>
      </c>
      <c r="U21" s="282" t="str">
        <f t="shared" si="16"/>
        <v>G</v>
      </c>
      <c r="V21" s="282" t="str">
        <f t="shared" si="16"/>
        <v>E</v>
      </c>
      <c r="W21" s="282" t="str">
        <f t="shared" si="16"/>
        <v>P</v>
      </c>
      <c r="X21" s="282" t="str">
        <f t="shared" si="16"/>
        <v>GF</v>
      </c>
      <c r="Y21" s="282" t="str">
        <f t="shared" si="16"/>
        <v>GC</v>
      </c>
      <c r="Z21" s="137" t="str">
        <f>Z5</f>
        <v>DG</v>
      </c>
      <c r="AA21" s="93">
        <f ca="1">COUNTIF(AA22:AA25,"&lt;100")</f>
        <v>0</v>
      </c>
      <c r="AB21" s="631"/>
      <c r="AC21" s="631"/>
      <c r="AD21" s="631"/>
      <c r="AE21" s="72"/>
      <c r="AF21" s="293"/>
      <c r="AG21" s="296" t="s">
        <v>41</v>
      </c>
      <c r="AH21" s="296" t="s">
        <v>13</v>
      </c>
      <c r="AI21" s="296" t="s">
        <v>5</v>
      </c>
      <c r="AJ21" s="296" t="s">
        <v>14</v>
      </c>
      <c r="AK21" s="296" t="s">
        <v>6</v>
      </c>
      <c r="AL21" s="296" t="s">
        <v>7</v>
      </c>
      <c r="AM21" s="296" t="s">
        <v>3</v>
      </c>
      <c r="AN21" s="296" t="s">
        <v>8</v>
      </c>
      <c r="AO21" s="296" t="s">
        <v>9</v>
      </c>
      <c r="AP21" s="296" t="s">
        <v>10</v>
      </c>
      <c r="AQ21" s="296" t="s">
        <v>11</v>
      </c>
      <c r="AR21" s="296" t="s">
        <v>15</v>
      </c>
      <c r="AS21" s="296" t="s">
        <v>13</v>
      </c>
      <c r="AW21" s="294"/>
      <c r="AY21" s="296" t="s">
        <v>5</v>
      </c>
      <c r="AZ21" s="296" t="s">
        <v>30</v>
      </c>
      <c r="BA21" s="296" t="s">
        <v>33</v>
      </c>
      <c r="BB21" s="296" t="s">
        <v>32</v>
      </c>
      <c r="BC21" s="296" t="s">
        <v>27</v>
      </c>
      <c r="BD21" s="296" t="str">
        <f ca="1">AY22</f>
        <v>Estados Unidos</v>
      </c>
      <c r="BE21" s="296" t="str">
        <f ca="1">AY23</f>
        <v>Uruguay</v>
      </c>
      <c r="BF21" s="296" t="str">
        <f ca="1">AY24</f>
        <v>Panamá</v>
      </c>
      <c r="BG21" s="296" t="str">
        <f ca="1">AY25</f>
        <v>Bolivia</v>
      </c>
      <c r="BH21" s="296" t="s">
        <v>32</v>
      </c>
      <c r="BI21" s="296" t="s">
        <v>27</v>
      </c>
      <c r="BJ21" s="296" t="str">
        <f ca="1">BD21</f>
        <v>Estados Unidos</v>
      </c>
      <c r="BK21" s="296" t="str">
        <f ca="1">BE21</f>
        <v>Uruguay</v>
      </c>
      <c r="BL21" s="296" t="str">
        <f ca="1">BF21</f>
        <v>Panamá</v>
      </c>
      <c r="BM21" s="296" t="str">
        <f ca="1">BG21</f>
        <v>Bolivia</v>
      </c>
      <c r="BN21" s="296" t="s">
        <v>32</v>
      </c>
      <c r="BO21" s="296" t="s">
        <v>27</v>
      </c>
      <c r="BP21" s="296" t="str">
        <f ca="1">BD21</f>
        <v>Estados Unidos</v>
      </c>
      <c r="BQ21" s="296" t="str">
        <f ca="1">BE21</f>
        <v>Uruguay</v>
      </c>
      <c r="BR21" s="296" t="str">
        <f ca="1">BF21</f>
        <v>Panamá</v>
      </c>
      <c r="BS21" s="296" t="str">
        <f ca="1">BG21</f>
        <v>Bolivia</v>
      </c>
      <c r="BU21" s="293"/>
      <c r="BV21" s="293" t="s">
        <v>42</v>
      </c>
      <c r="BW21" s="293"/>
      <c r="BX21" s="293" t="s">
        <v>43</v>
      </c>
      <c r="BY21" s="293"/>
      <c r="CC21" s="293" t="s">
        <v>197</v>
      </c>
      <c r="CD21" s="297" t="s">
        <v>203</v>
      </c>
      <c r="CE21" s="296" t="s">
        <v>198</v>
      </c>
      <c r="CF21" s="296" t="s">
        <v>199</v>
      </c>
      <c r="CG21" s="293" t="s">
        <v>196</v>
      </c>
      <c r="CH21" s="296" t="s">
        <v>195</v>
      </c>
      <c r="CI21" s="296"/>
      <c r="CJ21" s="296"/>
      <c r="CK21" s="296"/>
      <c r="CL21" s="296"/>
      <c r="CM21" s="296"/>
      <c r="CN21" s="296"/>
      <c r="CP21" s="268">
        <v>1</v>
      </c>
      <c r="CQ21" s="268">
        <v>2</v>
      </c>
      <c r="CR21" s="268">
        <v>3</v>
      </c>
      <c r="CS21" s="268">
        <v>4</v>
      </c>
      <c r="EG21" s="296"/>
      <c r="EI21" s="296"/>
      <c r="EK21" s="296"/>
    </row>
    <row r="22" spans="1:141" x14ac:dyDescent="0.3">
      <c r="A22" s="234" t="str">
        <f t="array" aca="1" ref="A22" ca="1">IF(ROWS(A$21:A22)&lt;=$C$20,INDEX(INDIRECT(A$20),SMALL(IF(Nivell=$B$20,ROW(Nivell)-ROW(Equipos!$C$2)+1),ROWS(B$20:B21))),"")</f>
        <v>Uruguay</v>
      </c>
      <c r="B22" s="235"/>
      <c r="C22" s="236"/>
      <c r="D22" s="150"/>
      <c r="E22" s="645"/>
      <c r="F22" s="23">
        <f>Horarios!C22</f>
        <v>45470.958333333336</v>
      </c>
      <c r="G22" s="24">
        <f>Horarios!C22</f>
        <v>45470.958333333336</v>
      </c>
      <c r="H22" s="23" t="str">
        <f>$H$6</f>
        <v>J2</v>
      </c>
      <c r="I22" s="25" t="str">
        <f ca="1">A23</f>
        <v>Panamá</v>
      </c>
      <c r="J22" s="26" t="str">
        <f ca="1">VLOOKUP(I22,Equipos!$K$2:$L$21,2,0)</f>
        <v>🇵🇦</v>
      </c>
      <c r="K22" s="562"/>
      <c r="L22" s="562"/>
      <c r="M22" s="27" t="str">
        <f ca="1">VLOOKUP(N22,Equipos!$K$2:$L$21,2,0)</f>
        <v>🇺🇸</v>
      </c>
      <c r="N22" s="61" t="str">
        <f ca="1">A21</f>
        <v>Estados Unidos</v>
      </c>
      <c r="O22" s="87">
        <f t="shared" si="15"/>
        <v>0</v>
      </c>
      <c r="P22" s="84"/>
      <c r="Q22" s="138">
        <v>1</v>
      </c>
      <c r="R22" s="139" t="str">
        <f ca="1">VLOOKUP(Q22,$AG$22:$AI$25,3,0)</f>
        <v>Estados Unidos</v>
      </c>
      <c r="S22" s="140">
        <f ca="1">VLOOKUP(R22,$AI$22:$AR$25,2,FALSE)</f>
        <v>0</v>
      </c>
      <c r="T22" s="140">
        <f ca="1">VLOOKUP($R22,$AI$22:$AR$25,3,FALSE)</f>
        <v>0</v>
      </c>
      <c r="U22" s="140">
        <f ca="1">VLOOKUP($R22,$AI$22:$AR$25,4,FALSE)</f>
        <v>0</v>
      </c>
      <c r="V22" s="140">
        <f ca="1">VLOOKUP($R22,$AI$22:$AR$25,5,FALSE)</f>
        <v>0</v>
      </c>
      <c r="W22" s="140">
        <f ca="1">VLOOKUP($R22,$AI$22:$AR$25,6,FALSE)</f>
        <v>0</v>
      </c>
      <c r="X22" s="140">
        <f ca="1">VLOOKUP($R22,$AI$22:$AR$25,7,FALSE)</f>
        <v>0</v>
      </c>
      <c r="Y22" s="140">
        <f ca="1">VLOOKUP($R22,$AI$22:$AR$25,8,FALSE)</f>
        <v>0</v>
      </c>
      <c r="Z22" s="141">
        <f ca="1">VLOOKUP($R22,$AI$22:$AR$25,9,FALSE)</f>
        <v>0</v>
      </c>
      <c r="AA22" s="75">
        <f ca="1">IF(SUM($AK$22:$AK$25)=12,MIN(ABS(BY21-BY22),ABS(BY22-BY23)),100)</f>
        <v>100</v>
      </c>
      <c r="AB22" s="94" t="str">
        <f ca="1">IF(AND(AA22&gt;=0,AA22&lt;90),VLOOKUP(Q22,$BU$22:$BV$25,2,0),"")</f>
        <v/>
      </c>
      <c r="AC22" s="74"/>
      <c r="AD22" s="75"/>
      <c r="AE22" s="72"/>
      <c r="AF22" s="293"/>
      <c r="AG22" s="268">
        <f ca="1">RANK(AU22,$AU$22:$AU$25)</f>
        <v>1</v>
      </c>
      <c r="AH22" s="268">
        <f ca="1">RANK(AR22,$AR$22:$AR$25)</f>
        <v>1</v>
      </c>
      <c r="AI22" s="268" t="str">
        <f ca="1">A21</f>
        <v>Estados Unidos</v>
      </c>
      <c r="AJ22" s="268">
        <f ca="1">AL22*3+AM22*1+AN22*0</f>
        <v>0</v>
      </c>
      <c r="AK22" s="268">
        <f ca="1">COUNTIFS($I$4:$I$33,AI22,$K$4:$K$33,"&lt;&gt;",$L$4:$L$33,"&lt;&gt;")+COUNTIFS($N$4:$N$33,AI22,$L$4:$L$33,"&lt;&gt;",$K$4:$K$33,"&lt;&gt;")</f>
        <v>0</v>
      </c>
      <c r="AL22" s="268">
        <f t="array" aca="1" ref="AL22" ca="1">SUM(($I$4:$I$33=AI22)*($K$4:$K$33&lt;&gt;"")*($L$4:$L$33&lt;&gt;"")*($K$4:$K$33&gt;$L$4:$L$33),($N$4:$N$33=AI22)*($K$4:$K$33&lt;&gt;"")*($L$4:$L$33&lt;&gt;"")*($K$4:$K$33&lt;$L$4:$L$33))</f>
        <v>0</v>
      </c>
      <c r="AM22" s="268">
        <f t="array" aca="1" ref="AM22" ca="1">SUM(($I$4:$I$33=AI22)*($K$4:$K$33&lt;&gt;"")*($L$4:$L$33&lt;&gt;"")*($K$4:$K$33=$L$4:$L$33),($N$4:$N$33=AI22)*($K$4:$K$33&lt;&gt;"")*($L$4:$L$33&lt;&gt;"")*($K$4:$K$33=$L$4:$L$33))</f>
        <v>0</v>
      </c>
      <c r="AN22" s="268">
        <f t="array" aca="1" ref="AN22" ca="1">SUM(($I$4:$I$33=AI22)*($L$4:$L$33&lt;&gt;"")*($K$4:$K$33&lt;&gt;"")*($K$4:$K$33&lt;$L$4:$L$33),($K$4:$K$33&lt;&gt;"")*($N$4:$N$33=AI22)*($L$4:$L$33&lt;&gt;"")*($K$4:$K$33&gt;$L$4:$L$33))</f>
        <v>0</v>
      </c>
      <c r="AO22" s="268">
        <f t="array" aca="1" ref="AO22" ca="1">SUMIFS($K$4:$K$33,$I$4:$I$33,AI22,$K$4:$K$33,"&lt;&gt;",$L$4:$L$33,"&lt;&gt;")+SUMIFS($L$4:$L$33,$N$4:$N$33,AI22,$K$4:$K$33,"&lt;&gt;",$L$4:$L$33,"&lt;&gt;")</f>
        <v>0</v>
      </c>
      <c r="AP22" s="268">
        <f t="array" aca="1" ref="AP22" ca="1">SUMIFS($K$4:$K$33,$N$4:$N$33,AI22,$K$4:$K$33,"&lt;&gt;",$L$4:$L$33,"&lt;&gt;")+SUMIFS($L$4:$L$33,$I$4:$I$33,AI22,$K$4:$K$33,"&lt;&gt;",$L$4:$L$33,"&lt;&gt;")</f>
        <v>0</v>
      </c>
      <c r="AQ22" s="268">
        <f ca="1">AO22-AP22</f>
        <v>0</v>
      </c>
      <c r="AR22" s="268">
        <f ca="1">IF(AK22=0,-($AW$10*VLOOKUP(AI22,Tabla3[[NombreEquipo]:[Rank]],3,FALSE)),AJ22*$AW$4+AQ22*$AW$5+AO22*$AW$6+BA22-($AW$10*VLOOKUP(AI22,Tabla3[[NombreEquipo]:[Rank]],3,FALSE)/100))</f>
        <v>-9</v>
      </c>
      <c r="AS22" s="268">
        <f ca="1">AH22</f>
        <v>1</v>
      </c>
      <c r="AU22" s="268">
        <f ca="1">IFERROR(AR22-VLOOKUP(AI22,$AB$22:$AC$25,2,0),AR22)</f>
        <v>-9</v>
      </c>
      <c r="AW22" s="294"/>
      <c r="AY22" s="297" t="str">
        <f ca="1">AI22</f>
        <v>Estados Unidos</v>
      </c>
      <c r="AZ22" s="268">
        <f ca="1">COUNTIF(AJ22:AJ25,AJ22)</f>
        <v>4</v>
      </c>
      <c r="BA22" s="268">
        <f ca="1">(BB22*$AW$9)+(BH22*$AW$8)+(BN22*$AW$7)</f>
        <v>111000</v>
      </c>
      <c r="BB22" s="295">
        <f ca="1">RANK(BC22,BC22:BC25,1)</f>
        <v>1</v>
      </c>
      <c r="BC22" s="295">
        <f ca="1">SUM(IF(AND(AJ22=AJ23,AQ22=AQ23,AO22=AO23),BE22,0),IF(AND(AJ22=AJ24,AQ22=AQ24,AO22=AO24),BF22,0),IF(AND(AJ22=AJ25,AQ22=AQ25,AO22=AO25),BG22,0))</f>
        <v>0</v>
      </c>
      <c r="BD22" s="295">
        <v>0</v>
      </c>
      <c r="BE22" s="295">
        <f t="array" aca="1" ref="BE22" ca="1">SUMIFS($K$20:$K$25,$I$20:$I$25,$AY22,$K$20:$K$25,"&lt;&gt;",$L$20:$L$25,"&lt;&gt;",$N$20:$N$25,BE21)+SUMIFS($L$20:$L$25,$I$20:$I$25,BE21,$K$20:$K$25,"&lt;&gt;",$L$20:$L$25,"&lt;&gt;",$N$20:$N$25,$AY22)</f>
        <v>0</v>
      </c>
      <c r="BF22" s="295">
        <f t="array" aca="1" ref="BF22" ca="1">SUMIFS($K$20:$K$25,$I$20:$I$25,$AY22,$K$20:$K$25,"&lt;&gt;",$L$20:$L$25,"&lt;&gt;",$N$20:$N$25,BF21)+SUMIFS($L$20:$L$25,$I$20:$I$25,BF21,$K$20:$K$25,"&lt;&gt;",$L$20:$L$25,"&lt;&gt;",$N$20:$N$25,$AY22)</f>
        <v>0</v>
      </c>
      <c r="BG22" s="295">
        <f t="array" aca="1" ref="BG22" ca="1">SUMIFS($K$20:$K$25,$I$20:$I$25,$AY22,$K$20:$K$25,"&lt;&gt;",$L$20:$L$25,"&lt;&gt;",$N$20:$N$25,BG21)+SUMIFS($L$20:$L$25,$I$20:$I$25,BG21,$K$20:$K$25,"&lt;&gt;",$L$20:$L$25,"&lt;&gt;",$N$20:$N$25,$AY22)</f>
        <v>0</v>
      </c>
      <c r="BH22" s="295">
        <f ca="1">RANK(BI22,BI22:BI25,1)</f>
        <v>1</v>
      </c>
      <c r="BI22" s="295">
        <f ca="1">SUM(IF(AND(AJ22=AJ23,AQ22=AQ23,AO22=AO23),BK22,0),IF(AND(AJ22=AJ24,AQ22=AQ24,AO22=AO24),BL22,0),IF(AND(AJ22=AJ25,AQ22=AQ25,AO22=AO25),BM22,0))</f>
        <v>0</v>
      </c>
      <c r="BJ22" s="295">
        <v>0</v>
      </c>
      <c r="BK22" s="295">
        <f ca="1">BE22-BD23</f>
        <v>0</v>
      </c>
      <c r="BL22" s="295">
        <f ca="1">BF22-BD24</f>
        <v>0</v>
      </c>
      <c r="BM22" s="295">
        <f ca="1">BG22-BD25</f>
        <v>0</v>
      </c>
      <c r="BN22" s="295">
        <f ca="1">RANK(BO22,BO22:BO25,1)</f>
        <v>1</v>
      </c>
      <c r="BO22" s="295">
        <f ca="1">SUM(IF(AND(AJ22=AJ23,AQ22=AQ23,AO22=AO23),BQ22,0),IF(AND(AJ22=AJ24,AQ22=AQ24,AO22=AO24),BR22,0),IF(AND(AJ22=AJ25,AQ22=AQ25,AO22=AO25),BS22,0))</f>
        <v>0</v>
      </c>
      <c r="BP22" s="295">
        <v>0</v>
      </c>
      <c r="BQ22" s="295">
        <f t="array" aca="1" ref="BQ22" ca="1">SUM((I$4:I$33=AY22)*(N$4:N$33=BQ21)*(K$4:K$33&lt;&gt;"")*(L$4:L$33&lt;&gt;"")*(K$4:K$33&gt;L$4:L$33)*3,(N$4:N$33=AY22)*(I$4:I$33=BQ21)*(K$4:K$33&lt;&gt;"")*(L$4:L$33&lt;&gt;"")*(K$4:K$33=L$4:L$33)*1,(N$4:N$33=AY22)*(I$4:I$33=BQ21)*(K$4:K$33&lt;&gt;"")*(L$4:L$33&lt;&gt;"")*(K$4:K$33&lt;L$4:L$33)*3,(I$4:I$33=AY22)*(N$4:N$33=BQ21)*(K$4:K$33&lt;&gt;"")*(L$4:L$33&lt;&gt;"")*(K$4:K$33=L$4:L$33)*1)</f>
        <v>0</v>
      </c>
      <c r="BR22" s="295">
        <f t="array" aca="1" ref="BR22" ca="1">SUM((I$4:I$33=AY22)*(N$4:N$33=BR21)*(K$4:K$33&lt;&gt;"")*(L$4:L$33&lt;&gt;"")*(K$4:K$33&gt;L$4:L$33)*3,(N$4:N$33=AY22)*(I$4:I$33=BR21)*(K$4:K$33&lt;&gt;"")*(L$4:L$33&lt;&gt;"")*(K$4:K$33=L$4:L$33)*1,(N$4:N$33=AY22)*(I$4:I$33=BR21)*(K$4:K$33&lt;&gt;"")*(L$4:L$33&lt;&gt;"")*(K$4:K$33&lt;L$4:L$33)*3,(I$4:I$33=AY22)*(N$4:N$33=BR21)*(K$4:K$33&lt;&gt;"")*(L$4:L$33&lt;&gt;"")*(K$4:K$33=L$4:L$33)*1)</f>
        <v>0</v>
      </c>
      <c r="BS22" s="295">
        <f t="array" aca="1" ref="BS22" ca="1">SUM((I$4:I$33=AY22)*(N$4:N$33=BS21)*(K$4:K$33&lt;&gt;"")*(L$4:L$33&lt;&gt;"")*(K$4:K$33&gt;L$4:L$33)*3,(N$4:N$33=AY22)*(I$4:I$33=BS21)*(K$4:K$33&lt;&gt;"")*(L$4:L$33&lt;&gt;"")*(K$4:K$33=L$4:L$33)*1,(N$4:N$33=AY22)*(I$4:I$33=BS21)*(K$4:K$33&lt;&gt;"")*(L$4:L$33&lt;&gt;"")*(K$4:K$33&lt;L$4:L$33)*3,(I$4:I$33=AY22)*(N$4:N$33=BS21)*(K$4:K$33&lt;&gt;"")*(L$4:L$33&lt;&gt;"")*(K$4:K$33=L$4:L$33)*1)</f>
        <v>0</v>
      </c>
      <c r="BT22" s="268">
        <v>1</v>
      </c>
      <c r="BU22" s="268">
        <f ca="1">RANK(BW22,$BW$22:$BW$25)</f>
        <v>1</v>
      </c>
      <c r="BV22" s="268" t="str">
        <f ca="1">A21</f>
        <v>Estados Unidos</v>
      </c>
      <c r="BW22" s="268">
        <f ca="1">IF(AK22=0,-($AW$10*VLOOKUP(AI22,Tabla3[[NombreEquipo]:[Rank]],3,FALSE)),AJ22*$AW$4+AQ22*$AW$5+AO22*$AW$6+BA22-($AW$10*VLOOKUP(AI22,Tabla3[[NombreEquipo]:[Rank]],3,FALSE)/100))</f>
        <v>-9</v>
      </c>
      <c r="BX22" s="268" t="str">
        <f ca="1">VLOOKUP(Q22,$AH$22:$AI$25,2,0)</f>
        <v>Estados Unidos</v>
      </c>
      <c r="BY22" s="268">
        <f ca="1">VLOOKUP($BX22,$AI$22:$AR$25,10,FALSE)</f>
        <v>-9</v>
      </c>
      <c r="CC22" s="268">
        <f ca="1">RANK(CE22,$CE$22:$CE$25)</f>
        <v>1</v>
      </c>
      <c r="CD22" s="268" t="str">
        <f ca="1">A21</f>
        <v>Estados Unidos</v>
      </c>
      <c r="CE22" s="268">
        <f ca="1">IF(AK22=0,-($AW$10*VLOOKUP(AI22,Tabla3[[NombreEquipo]:[Rank]],3,FALSE)),AJ22*$AW$4+AQ22*$AW$5+AO22*$AW$6+BA22-($AW$10*VLOOKUP(AI22,Tabla3[[NombreEquipo]:[Rank]],3,FALSE)/100))</f>
        <v>-9</v>
      </c>
      <c r="CF22" s="268">
        <f ca="1">IF(AK22=0,-($AW$10*VLOOKUP(AI22,Tabla3[[NombreEquipo]:[Rank]],3,FALSE)),AJ22*$AW$4+AQ22*$AW$5+AO22*$AW$6+BA22)</f>
        <v>-9</v>
      </c>
      <c r="CG22" s="268">
        <v>1</v>
      </c>
      <c r="CH22" s="268" t="str">
        <f ca="1">VLOOKUP(CG22,$CC$22:$CD$25,2,0)</f>
        <v>Estados Unidos</v>
      </c>
      <c r="CI22" s="268">
        <f ca="1">VLOOKUP(CG22,$CC$22:$CF$25,4,0)</f>
        <v>-9</v>
      </c>
      <c r="CJ22" s="268">
        <f ca="1">COUNTIF($CI$22:$CI$25,CI22)</f>
        <v>1</v>
      </c>
      <c r="CK22" s="268" t="str">
        <f t="shared" ref="CK22" ca="1" si="17">CJ22&amp;CJ23&amp;CJ24&amp;CJ25</f>
        <v>1111</v>
      </c>
      <c r="CL22" s="268">
        <f ca="1">HLOOKUP(CK22,$CX$3:$DE$4,2,0)</f>
        <v>8</v>
      </c>
      <c r="CM22" s="268">
        <v>1</v>
      </c>
      <c r="CN22" s="268">
        <f ca="1">HLOOKUP(CL22,$CX$4:$DE$9,3,0)</f>
        <v>1</v>
      </c>
      <c r="CP22" s="268" cm="1">
        <f t="array" aca="1" ref="CP22" ca="1">OFFSET($DG$4,1,MATCH($CN22,$DH$4:$DQ$4,0),HLOOKUP($CN22,$DH$4:$DQ$9,6,0),1)</f>
        <v>1</v>
      </c>
      <c r="CQ22" s="268" cm="1">
        <f t="array" aca="1" ref="CQ22" ca="1">OFFSET($DG$4,1,MATCH($CN23,$DH$4:$DQ$4,0),HLOOKUP($CN23,$DH$4:$DQ$9,6,0),1)</f>
        <v>2</v>
      </c>
      <c r="CR22" s="268" cm="1">
        <f t="array" aca="1" ref="CR22" ca="1">OFFSET($DG$4,1,MATCH($CN24,$DH$4:$DQ$4,0),HLOOKUP($CN24,$DH$4:$DQ$9,6,0),1)</f>
        <v>3</v>
      </c>
      <c r="CS22" s="268" cm="1">
        <f t="array" aca="1" ref="CS22" ca="1">OFFSET($DG$4,1,MATCH($CN25,$DH$4:$DQ$4,0),HLOOKUP($CN25,$DH$4:$DQ$9,6,0),1)</f>
        <v>4</v>
      </c>
      <c r="EG22" s="295"/>
      <c r="EI22" s="295"/>
      <c r="EK22" s="295"/>
    </row>
    <row r="23" spans="1:141" x14ac:dyDescent="0.3">
      <c r="A23" s="234" t="str">
        <f t="array" aca="1" ref="A23" ca="1">IF(ROWS(A$21:A23)&lt;=$C$20,INDEX(INDIRECT(A$20),SMALL(IF(Nivell=$B$20,ROW(Nivell)-ROW(Equipos!$C$2)+1),ROWS(B$20:B22))),"")</f>
        <v>Panamá</v>
      </c>
      <c r="B23" s="235"/>
      <c r="C23" s="164"/>
      <c r="D23" s="150"/>
      <c r="E23" s="645"/>
      <c r="F23" s="23">
        <f>Horarios!C23</f>
        <v>45471.083333333336</v>
      </c>
      <c r="G23" s="24">
        <f>Horarios!C23</f>
        <v>45471.083333333336</v>
      </c>
      <c r="H23" s="23" t="str">
        <f>$H$6</f>
        <v>J2</v>
      </c>
      <c r="I23" s="25" t="str">
        <f ca="1">A22</f>
        <v>Uruguay</v>
      </c>
      <c r="J23" s="26" t="str">
        <f ca="1">VLOOKUP(I23,Equipos!$K$2:$L$21,2,0)</f>
        <v>🇺🇾</v>
      </c>
      <c r="K23" s="562"/>
      <c r="L23" s="562"/>
      <c r="M23" s="27" t="str">
        <f ca="1">VLOOKUP(N23,Equipos!$K$2:$L$21,2,0)</f>
        <v>🇧🇴</v>
      </c>
      <c r="N23" s="61" t="str">
        <f ca="1">A24</f>
        <v>Bolivia</v>
      </c>
      <c r="O23" s="87">
        <f t="shared" si="15"/>
        <v>0</v>
      </c>
      <c r="P23" s="84"/>
      <c r="Q23" s="142">
        <v>2</v>
      </c>
      <c r="R23" s="3" t="str">
        <f ca="1">VLOOKUP(Q23,$AG$22:$AI$25,3,0)</f>
        <v>Uruguay</v>
      </c>
      <c r="S23" s="2">
        <f ca="1">VLOOKUP(R23,$AI$22:$AR$25,2,FALSE)</f>
        <v>0</v>
      </c>
      <c r="T23" s="2">
        <f ca="1">VLOOKUP($R23,$AI$22:$AR$25,3,FALSE)</f>
        <v>0</v>
      </c>
      <c r="U23" s="2">
        <f ca="1">VLOOKUP($R23,$AI$22:$AR$25,4,FALSE)</f>
        <v>0</v>
      </c>
      <c r="V23" s="2">
        <f ca="1">VLOOKUP($R23,$AI$22:$AR$25,5,FALSE)</f>
        <v>0</v>
      </c>
      <c r="W23" s="2">
        <f ca="1">VLOOKUP($R23,$AI$22:$AR$25,6,FALSE)</f>
        <v>0</v>
      </c>
      <c r="X23" s="2">
        <f ca="1">VLOOKUP($R23,$AI$22:$AR$25,7,FALSE)</f>
        <v>0</v>
      </c>
      <c r="Y23" s="2">
        <f ca="1">VLOOKUP($R23,$AI$22:$AR$25,8,FALSE)</f>
        <v>0</v>
      </c>
      <c r="Z23" s="143">
        <f ca="1">VLOOKUP($R23,$AI$22:$AR$25,9,FALSE)</f>
        <v>0</v>
      </c>
      <c r="AA23" s="75">
        <f ca="1">IF(SUM($AK$22:$AK$25)=12,MIN(ABS(BY22-BY23),ABS(BY23-BY24)),100)</f>
        <v>100</v>
      </c>
      <c r="AB23" s="94" t="str">
        <f ca="1">IF(AND(AA23&gt;=0,AA23&lt;90),VLOOKUP(Q23,$BU$22:$BV$25,2,0),"")</f>
        <v/>
      </c>
      <c r="AC23" s="74"/>
      <c r="AD23" s="75"/>
      <c r="AE23" s="72"/>
      <c r="AF23" s="293"/>
      <c r="AG23" s="268">
        <f ca="1">RANK(AU23,$AU$22:$AU$25)</f>
        <v>2</v>
      </c>
      <c r="AH23" s="268">
        <f ca="1">RANK(AR23,$AR$22:$AR$25)</f>
        <v>2</v>
      </c>
      <c r="AI23" s="268" t="str">
        <f ca="1">A22</f>
        <v>Uruguay</v>
      </c>
      <c r="AJ23" s="268">
        <f ca="1">AL23*3+AM23*1+AN23*0</f>
        <v>0</v>
      </c>
      <c r="AK23" s="268">
        <f ca="1">COUNTIFS($I$4:$I$33,AI23,$K$4:$K$33,"&lt;&gt;",$L$4:$L$33,"&lt;&gt;")+COUNTIFS($N$4:$N$33,AI23,$L$4:$L$33,"&lt;&gt;",$K$4:$K$33,"&lt;&gt;")</f>
        <v>0</v>
      </c>
      <c r="AL23" s="268">
        <f t="array" aca="1" ref="AL23" ca="1">SUM(($I$4:$I$33=AI23)*($K$4:$K$33&lt;&gt;"")*($L$4:$L$33&lt;&gt;"")*($K$4:$K$33&gt;$L$4:$L$33),($N$4:$N$33=AI23)*($K$4:$K$33&lt;&gt;"")*($L$4:$L$33&lt;&gt;"")*($K$4:$K$33&lt;$L$4:$L$33))</f>
        <v>0</v>
      </c>
      <c r="AM23" s="268">
        <f t="array" aca="1" ref="AM23" ca="1">SUM(($I$4:$I$33=AI23)*($K$4:$K$33&lt;&gt;"")*($L$4:$L$33&lt;&gt;"")*($K$4:$K$33=$L$4:$L$33),($N$4:$N$33=AI23)*($K$4:$K$33&lt;&gt;"")*($L$4:$L$33&lt;&gt;"")*($K$4:$K$33=$L$4:$L$33))</f>
        <v>0</v>
      </c>
      <c r="AN23" s="268">
        <f t="array" aca="1" ref="AN23" ca="1">SUM(($I$4:$I$33=AI23)*($L$4:$L$33&lt;&gt;"")*($K$4:$K$33&lt;&gt;"")*($K$4:$K$33&lt;$L$4:$L$33),($K$4:$K$33&lt;&gt;"")*($N$4:$N$33=AI23)*($L$4:$L$33&lt;&gt;"")*($K$4:$K$33&gt;$L$4:$L$33))</f>
        <v>0</v>
      </c>
      <c r="AO23" s="268">
        <f t="array" aca="1" ref="AO23" ca="1">SUMIFS($K$4:$K$33,$I$4:$I$33,AI23,$K$4:$K$33,"&lt;&gt;",$L$4:$L$33,"&lt;&gt;")+SUMIFS($L$4:$L$33,$N$4:$N$33,AI23,$K$4:$K$33,"&lt;&gt;",$L$4:$L$33,"&lt;&gt;")</f>
        <v>0</v>
      </c>
      <c r="AP23" s="268">
        <f t="array" aca="1" ref="AP23" ca="1">SUMIFS($K$4:$K$33,$N$4:$N$33,AI23,$K$4:$K$33,"&lt;&gt;",$L$4:$L$33,"&lt;&gt;")+SUMIFS($L$4:$L$33,$I$4:$I$33,AI23,$K$4:$K$33,"&lt;&gt;",$L$4:$L$33,"&lt;&gt;")</f>
        <v>0</v>
      </c>
      <c r="AQ23" s="268">
        <f ca="1">AO23-AP23</f>
        <v>0</v>
      </c>
      <c r="AR23" s="268">
        <f ca="1">IF(AK23=0,-($AW$10*VLOOKUP(AI23,Tabla3[[NombreEquipo]:[Rank]],3,FALSE)),AJ23*$AW$4+AQ23*$AW$5+AO23*$AW$6+BA23-($AW$10*VLOOKUP(AI23,Tabla3[[NombreEquipo]:[Rank]],3,FALSE)/100))</f>
        <v>-10</v>
      </c>
      <c r="AS23" s="268">
        <f ca="1">AH23</f>
        <v>2</v>
      </c>
      <c r="AU23" s="268">
        <f ca="1">IFERROR(AR23-VLOOKUP(AI23,$AB$22:$AC$25,2,0),AR23)</f>
        <v>-10</v>
      </c>
      <c r="AW23" s="294"/>
      <c r="AY23" s="297" t="str">
        <f ca="1">AI23</f>
        <v>Uruguay</v>
      </c>
      <c r="AZ23" s="268">
        <f ca="1">COUNTIF(AJ22:AJ25,AJ23)</f>
        <v>4</v>
      </c>
      <c r="BA23" s="268">
        <f ca="1">(BB23*$AW$9)+(BH23*$AW$8)+(BN23*$AW$7)</f>
        <v>111000</v>
      </c>
      <c r="BB23" s="295">
        <f ca="1">RANK(BC23,BC22:BC25,1)</f>
        <v>1</v>
      </c>
      <c r="BC23" s="295">
        <f ca="1">SUM(IF(AND(AJ23=AJ24,AQ23=AQ24,AO23=AO24),BF23,0),IF(AND(AJ23=AJ25,AQ23=AQ25,AO23=AO25),BG23,0),IF(AND(AJ23=AJ22,AQ23=AQ22,AO23=AO22),BD23,0))</f>
        <v>0</v>
      </c>
      <c r="BD23" s="295">
        <f t="array" aca="1" ref="BD23" ca="1">SUMIFS($K$20:$K$25,$I$20:$I$25,$AY23,$K$20:$K$25,"&lt;&gt;",$L$20:$L$25,"&lt;&gt;",$N$20:$N$25,BD21)+SUMIFS($L$20:$L$25,$I$20:$I$25,BD21,$K$20:$K$25,"&lt;&gt;",$L$20:$L$25,"&lt;&gt;",$N$20:$N$25,$AY23)</f>
        <v>0</v>
      </c>
      <c r="BE23" s="295">
        <v>0</v>
      </c>
      <c r="BF23" s="295">
        <f t="array" aca="1" ref="BF23" ca="1">SUMIFS($K$20:$K$25,$I$20:$I$25,$AY23,$K$20:$K$25,"&lt;&gt;",$L$20:$L$25,"&lt;&gt;",$N$20:$N$25,BF21)+SUMIFS($L$20:$L$25,$I$20:$I$25,BF21,$K$20:$K$25,"&lt;&gt;",$L$20:$L$25,"&lt;&gt;",$N$20:$N$25,$AY23)</f>
        <v>0</v>
      </c>
      <c r="BG23" s="295">
        <f t="array" aca="1" ref="BG23" ca="1">SUMIFS($K$20:$K$25,$I$20:$I$25,$AY23,$K$20:$K$25,"&lt;&gt;",$L$20:$L$25,"&lt;&gt;",$N$20:$N$25,BG21)+SUMIFS($L$20:$L$25,$I$20:$I$25,BG21,$K$20:$K$25,"&lt;&gt;",$L$20:$L$25,"&lt;&gt;",$N$20:$N$25,$AY23)</f>
        <v>0</v>
      </c>
      <c r="BH23" s="295">
        <f ca="1">RANK(BI23,BI22:BI25,1)</f>
        <v>1</v>
      </c>
      <c r="BI23" s="295">
        <f ca="1">SUM(IF(AND(AJ23=AJ24,AQ23=AQ24,AO23=AO24),BL23,0),IF(AND(AJ23=AJ25,AQ23=AQ25,AO23=AO25),BM23,0),IF(AND(AJ23=AJ22,AQ23=AQ22,AO23=AO22),BJ23,0))</f>
        <v>0</v>
      </c>
      <c r="BJ23" s="295">
        <f ca="1">BD23-BE22</f>
        <v>0</v>
      </c>
      <c r="BK23" s="295">
        <v>0</v>
      </c>
      <c r="BL23" s="295">
        <f ca="1">BF23-BE24</f>
        <v>0</v>
      </c>
      <c r="BM23" s="295">
        <f ca="1">BG23-BE25</f>
        <v>0</v>
      </c>
      <c r="BN23" s="295">
        <f ca="1">RANK(BO23,BO22:BO25,1)</f>
        <v>1</v>
      </c>
      <c r="BO23" s="295">
        <f ca="1">SUM(IF(AND(AJ23=AJ24,AQ23=AQ24,AO23=AO24),BR23,0),IF(AND(AJ23=AJ25,AQ23=AQ25,AO23=AO25),BS23,0),IF(AND(AJ23=AJ22,AQ23=AQ22,AO23=AO22),BP23,0))</f>
        <v>0</v>
      </c>
      <c r="BP23" s="295">
        <f t="array" aca="1" ref="BP23" ca="1">SUM((I$4:I$33=AY23)*(N$4:N$33=BP21)*(K$4:K$33&lt;&gt;"")*(L$4:L$33&lt;&gt;"")*(K$4:K$33&gt;L$4:L$33)*3,(N$4:N$33=AY23)*(I$4:I$33=BP21)*(K$4:K$33&lt;&gt;"")*(L$4:L$33&lt;&gt;"")*(K$4:K$33=L$4:L$33)*1,(N$4:N$33=AY23)*(I$4:I$33=BP21)*(K$4:K$33&lt;&gt;"")*(L$4:L$33&lt;&gt;"")*(K$4:K$33&lt;L$4:L$33)*3,(I$4:I$33=AY23)*(N$4:N$33=BP21)*(K$4:K$33&lt;&gt;"")*(L$4:L$33&lt;&gt;"")*(K$4:K$33=L$4:L$33)*1)</f>
        <v>0</v>
      </c>
      <c r="BQ23" s="295">
        <v>0</v>
      </c>
      <c r="BR23" s="295">
        <f t="array" aca="1" ref="BR23" ca="1">SUM((I$4:I$33=AY23)*(N$4:N$33=BR21)*(K$4:K$33&lt;&gt;"")*(L$4:L$33&lt;&gt;"")*(K$4:K$33&gt;L$4:L$33)*3,(N$4:N$33=AY23)*(I$4:I$33=BR21)*(K$4:K$33&lt;&gt;"")*(L$4:L$33&lt;&gt;"")*(K$4:K$33=L$4:L$33)*1,(N$4:N$33=AY23)*(I$4:I$33=BR21)*(K$4:K$33&lt;&gt;"")*(L$4:L$33&lt;&gt;"")*(K$4:K$33&lt;L$4:L$33)*3,(I$4:I$33=AY23)*(N$4:N$33=BR21)*(K$4:K$33&lt;&gt;"")*(L$4:L$33&lt;&gt;"")*(K$4:K$33=L$4:L$33)*1)</f>
        <v>0</v>
      </c>
      <c r="BS23" s="295">
        <f t="array" aca="1" ref="BS23" ca="1">SUM((I$4:I$33=AY23)*(N$4:N$33=BS21)*(K$4:K$33&lt;&gt;"")*(L$4:L$33&lt;&gt;"")*(K$4:K$33&gt;L$4:L$33)*3,(N$4:N$33=AY23)*(I$4:I$33=BS21)*(K$4:K$33&lt;&gt;"")*(L$4:L$33&lt;&gt;"")*(K$4:K$33=L$4:L$33)*1,(N$4:N$33=AY23)*(I$4:I$33=BS21)*(K$4:K$33&lt;&gt;"")*(L$4:L$33&lt;&gt;"")*(K$4:K$33&lt;L$4:L$33)*3,(I$4:I$33=AY23)*(N$4:N$33=BS21)*(K$4:K$33&lt;&gt;"")*(L$4:L$33&lt;&gt;"")*(K$4:K$33=L$4:L$33)*1)</f>
        <v>0</v>
      </c>
      <c r="BT23" s="268">
        <v>2</v>
      </c>
      <c r="BU23" s="268">
        <f ca="1">RANK(BW23,$BW$22:$BW$25)</f>
        <v>2</v>
      </c>
      <c r="BV23" s="268" t="str">
        <f ca="1">A22</f>
        <v>Uruguay</v>
      </c>
      <c r="BW23" s="268">
        <f ca="1">IF(AK23=0,-($AW$10*VLOOKUP(AI23,Tabla3[[NombreEquipo]:[Rank]],3,FALSE)),AJ23*$AW$4+AQ23*$AW$5+AO23*$AW$6+BA23-($AW$10*VLOOKUP(AI23,Tabla3[[NombreEquipo]:[Rank]],3,FALSE)/100))</f>
        <v>-10</v>
      </c>
      <c r="BX23" s="268" t="str">
        <f ca="1">VLOOKUP(Q23,$AH$22:$AI$25,2,0)</f>
        <v>Uruguay</v>
      </c>
      <c r="BY23" s="268">
        <f ca="1">VLOOKUP($BX23,$AI$22:$AR$25,10,FALSE)</f>
        <v>-10</v>
      </c>
      <c r="CC23" s="268">
        <f t="shared" ref="CC23:CC25" ca="1" si="18">RANK(CE23,$CE$22:$CE$25)</f>
        <v>2</v>
      </c>
      <c r="CD23" s="268" t="str">
        <f ca="1">A22</f>
        <v>Uruguay</v>
      </c>
      <c r="CE23" s="268">
        <f ca="1">IF(AK23=0,-($AW$10*VLOOKUP(AI23,Tabla3[[NombreEquipo]:[Rank]],3,FALSE)),AJ23*$AW$4+AQ23*$AW$5+AO23*$AW$6+BA23-($AW$10*VLOOKUP(AI23,Tabla3[[NombreEquipo]:[Rank]],3,FALSE)/100))</f>
        <v>-10</v>
      </c>
      <c r="CF23" s="268">
        <f ca="1">IF(AK23=0,-($AW$10*VLOOKUP(AI23,Tabla3[[NombreEquipo]:[Rank]],3,FALSE)),AJ23*$AW$4+AQ23*$AW$5+AO23*$AW$6+BA23)</f>
        <v>-10</v>
      </c>
      <c r="CG23" s="268">
        <v>2</v>
      </c>
      <c r="CH23" s="268" t="str">
        <f t="shared" ref="CH23:CH25" ca="1" si="19">VLOOKUP(CG23,$CC$22:$CD$25,2,0)</f>
        <v>Uruguay</v>
      </c>
      <c r="CI23" s="268">
        <f t="shared" ref="CI23:CI25" ca="1" si="20">VLOOKUP(CG23,$CC$22:$CF$25,4,0)</f>
        <v>-10</v>
      </c>
      <c r="CJ23" s="268">
        <f t="shared" ref="CJ23:CJ25" ca="1" si="21">COUNTIF($CI$22:$CI$25,CI23)</f>
        <v>1</v>
      </c>
      <c r="CM23" s="268">
        <v>2</v>
      </c>
      <c r="CN23" s="268">
        <f ca="1">HLOOKUP(CL22,$CX$4:$DE$9,4,0)</f>
        <v>2</v>
      </c>
      <c r="EG23" s="295"/>
      <c r="EI23" s="295"/>
      <c r="EK23" s="295"/>
    </row>
    <row r="24" spans="1:141" x14ac:dyDescent="0.3">
      <c r="A24" s="234" t="str">
        <f t="array" aca="1" ref="A24" ca="1">IF(ROWS(A$21:A24)&lt;=$C$20,INDEX(INDIRECT(A$20),SMALL(IF(Nivell=$B$20,ROW(Nivell)-ROW(Equipos!$C$2)+1),ROWS(B$20:B23))),"")</f>
        <v>Bolivia</v>
      </c>
      <c r="B24" s="235"/>
      <c r="C24" s="164"/>
      <c r="D24" s="150"/>
      <c r="E24" s="645"/>
      <c r="F24" s="23">
        <f>Horarios!C24</f>
        <v>45475.083333333336</v>
      </c>
      <c r="G24" s="24">
        <f>Horarios!C24</f>
        <v>45475.083333333336</v>
      </c>
      <c r="H24" s="23" t="str">
        <f>$H$8</f>
        <v>J3</v>
      </c>
      <c r="I24" s="25" t="str">
        <f ca="1">A21</f>
        <v>Estados Unidos</v>
      </c>
      <c r="J24" s="26" t="str">
        <f ca="1">VLOOKUP(I24,Equipos!$K$2:$L$21,2,0)</f>
        <v>🇺🇸</v>
      </c>
      <c r="K24" s="562"/>
      <c r="L24" s="562"/>
      <c r="M24" s="27" t="str">
        <f ca="1">VLOOKUP(N24,Equipos!$K$2:$L$21,2,0)</f>
        <v>🇺🇾</v>
      </c>
      <c r="N24" s="61" t="str">
        <f ca="1">A22</f>
        <v>Uruguay</v>
      </c>
      <c r="O24" s="87">
        <f t="shared" si="15"/>
        <v>0</v>
      </c>
      <c r="P24" s="84"/>
      <c r="Q24" s="142">
        <v>3</v>
      </c>
      <c r="R24" s="3" t="str">
        <f ca="1">VLOOKUP(Q24,$AG$22:$AI$25,3,0)</f>
        <v>Panamá</v>
      </c>
      <c r="S24" s="2">
        <f ca="1">VLOOKUP(R24,$AI$22:$AR$25,2,FALSE)</f>
        <v>0</v>
      </c>
      <c r="T24" s="2">
        <f ca="1">VLOOKUP($R24,$AI$22:$AR$25,3,FALSE)</f>
        <v>0</v>
      </c>
      <c r="U24" s="2">
        <f ca="1">VLOOKUP($R24,$AI$22:$AR$25,4,FALSE)</f>
        <v>0</v>
      </c>
      <c r="V24" s="2">
        <f ca="1">VLOOKUP($R24,$AI$22:$AR$25,5,FALSE)</f>
        <v>0</v>
      </c>
      <c r="W24" s="2">
        <f ca="1">VLOOKUP($R24,$AI$22:$AR$25,6,FALSE)</f>
        <v>0</v>
      </c>
      <c r="X24" s="2">
        <f ca="1">VLOOKUP($R24,$AI$22:$AR$25,7,FALSE)</f>
        <v>0</v>
      </c>
      <c r="Y24" s="2">
        <f ca="1">VLOOKUP($R24,$AI$22:$AR$25,8,FALSE)</f>
        <v>0</v>
      </c>
      <c r="Z24" s="143">
        <f ca="1">VLOOKUP($R24,$AI$22:$AR$25,9,FALSE)</f>
        <v>0</v>
      </c>
      <c r="AA24" s="75">
        <f ca="1">IF(SUM($AK$22:$AK$25)=12,MIN(ABS(BY23-BY24),ABS(BY24-BY25)),100)</f>
        <v>100</v>
      </c>
      <c r="AB24" s="94" t="str">
        <f ca="1">IF(AND(AA24&gt;=0,AA24&lt;90),VLOOKUP(Q24,$BU$22:$BV$25,2,0),"")</f>
        <v/>
      </c>
      <c r="AC24" s="74"/>
      <c r="AD24" s="75"/>
      <c r="AE24" s="72"/>
      <c r="AF24" s="293"/>
      <c r="AG24" s="268">
        <f ca="1">RANK(AU24,$AU$22:$AU$25)</f>
        <v>3</v>
      </c>
      <c r="AH24" s="268">
        <f ca="1">RANK(AR24,$AR$22:$AR$25)</f>
        <v>3</v>
      </c>
      <c r="AI24" s="268" t="str">
        <f ca="1">A23</f>
        <v>Panamá</v>
      </c>
      <c r="AJ24" s="268">
        <f ca="1">AL24*3+AM24*1+AN24*0</f>
        <v>0</v>
      </c>
      <c r="AK24" s="268">
        <f ca="1">COUNTIFS($I$4:$I$33,AI24,$K$4:$K$33,"&lt;&gt;",$L$4:$L$33,"&lt;&gt;")+COUNTIFS($N$4:$N$33,AI24,$L$4:$L$33,"&lt;&gt;",$K$4:$K$33,"&lt;&gt;")</f>
        <v>0</v>
      </c>
      <c r="AL24" s="268">
        <f t="array" aca="1" ref="AL24" ca="1">SUM(($I$4:$I$33=AI24)*($K$4:$K$33&lt;&gt;"")*($L$4:$L$33&lt;&gt;"")*($K$4:$K$33&gt;$L$4:$L$33),($N$4:$N$33=AI24)*($K$4:$K$33&lt;&gt;"")*($L$4:$L$33&lt;&gt;"")*($K$4:$K$33&lt;$L$4:$L$33))</f>
        <v>0</v>
      </c>
      <c r="AM24" s="268">
        <f t="array" aca="1" ref="AM24" ca="1">SUM(($I$4:$I$33=AI24)*($K$4:$K$33&lt;&gt;"")*($L$4:$L$33&lt;&gt;"")*($K$4:$K$33=$L$4:$L$33),($N$4:$N$33=AI24)*($K$4:$K$33&lt;&gt;"")*($L$4:$L$33&lt;&gt;"")*($K$4:$K$33=$L$4:$L$33))</f>
        <v>0</v>
      </c>
      <c r="AN24" s="268">
        <f t="array" aca="1" ref="AN24" ca="1">SUM(($I$4:$I$33=AI24)*($L$4:$L$33&lt;&gt;"")*($K$4:$K$33&lt;&gt;"")*($K$4:$K$33&lt;$L$4:$L$33),($K$4:$K$33&lt;&gt;"")*($N$4:$N$33=AI24)*($L$4:$L$33&lt;&gt;"")*($K$4:$K$33&gt;$L$4:$L$33))</f>
        <v>0</v>
      </c>
      <c r="AO24" s="268">
        <f t="array" aca="1" ref="AO24" ca="1">SUMIFS($K$4:$K$33,$I$4:$I$33,AI24,$K$4:$K$33,"&lt;&gt;",$L$4:$L$33,"&lt;&gt;")+SUMIFS($L$4:$L$33,$N$4:$N$33,AI24,$K$4:$K$33,"&lt;&gt;",$L$4:$L$33,"&lt;&gt;")</f>
        <v>0</v>
      </c>
      <c r="AP24" s="268">
        <f t="array" aca="1" ref="AP24" ca="1">SUMIFS($K$4:$K$33,$N$4:$N$33,AI24,$K$4:$K$33,"&lt;&gt;",$L$4:$L$33,"&lt;&gt;")+SUMIFS($L$4:$L$33,$I$4:$I$33,AI24,$K$4:$K$33,"&lt;&gt;",$L$4:$L$33,"&lt;&gt;")</f>
        <v>0</v>
      </c>
      <c r="AQ24" s="268">
        <f ca="1">AO24-AP24</f>
        <v>0</v>
      </c>
      <c r="AR24" s="268">
        <f ca="1">IF(AK24=0,-($AW$10*VLOOKUP(AI24,Tabla3[[NombreEquipo]:[Rank]],3,FALSE)),AJ24*$AW$4+AQ24*$AW$5+AO24*$AW$6+BA24-($AW$10*VLOOKUP(AI24,Tabla3[[NombreEquipo]:[Rank]],3,FALSE)/100))</f>
        <v>-11</v>
      </c>
      <c r="AS24" s="268">
        <f ca="1">AH24</f>
        <v>3</v>
      </c>
      <c r="AU24" s="268">
        <f ca="1">IFERROR(AR24-VLOOKUP(AI24,$AB$22:$AC$25,2,0),AR24)</f>
        <v>-11</v>
      </c>
      <c r="AW24" s="294"/>
      <c r="AY24" s="297" t="str">
        <f ca="1">AI24</f>
        <v>Panamá</v>
      </c>
      <c r="AZ24" s="268">
        <f ca="1">COUNTIF(AJ22:AJ25,AJ24)</f>
        <v>4</v>
      </c>
      <c r="BA24" s="268">
        <f ca="1">(BB24*$AW$9)+(BH24*$AW$8)+(BN24*$AW$7)</f>
        <v>111000</v>
      </c>
      <c r="BB24" s="295">
        <f ca="1">RANK(BC24,BC22:BC25,1)</f>
        <v>1</v>
      </c>
      <c r="BC24" s="295">
        <f ca="1">SUM(IF(AND(AJ24=AJ25,AQ24=AQ25,AO24=AO25),BG24,0),IF(AND(AJ24=AJ22,AQ24=AQ22,AO24=AO22),BD24,0),IF(AND(AJ24=AJ23,AQ24=AQ23,AO24=AO23),BE24,0))</f>
        <v>0</v>
      </c>
      <c r="BD24" s="295">
        <f t="array" aca="1" ref="BD24" ca="1">SUMIFS($K$20:$K$25,$I$20:$I$25,$AY24,$K$20:$K$25,"&lt;&gt;",$L$20:$L$25,"&lt;&gt;",$N$20:$N$25,BD21)+SUMIFS($L$20:$L$25,$I$20:$I$25,BD21,$K$20:$K$25,"&lt;&gt;",$L$20:$L$25,"&lt;&gt;",$N$20:$N$25,$AY24)</f>
        <v>0</v>
      </c>
      <c r="BE24" s="295">
        <f t="array" aca="1" ref="BE24" ca="1">SUMIFS($K$20:$K$25,$I$20:$I$25,$AY24,$K$20:$K$25,"&lt;&gt;",$L$20:$L$25,"&lt;&gt;",$N$20:$N$25,BE21)+SUMIFS($L$20:$L$25,$I$20:$I$25,BE21,$K$20:$K$25,"&lt;&gt;",$L$20:$L$25,"&lt;&gt;",$N$20:$N$25,$AY24)</f>
        <v>0</v>
      </c>
      <c r="BF24" s="295">
        <v>0</v>
      </c>
      <c r="BG24" s="295">
        <f t="array" aca="1" ref="BG24" ca="1">SUMIFS($K$20:$K$25,$I$20:$I$25,$AY24,$K$20:$K$25,"&lt;&gt;",$L$20:$L$25,"&lt;&gt;",$N$20:$N$25,BG21)+SUMIFS($L$20:$L$25,$I$20:$I$25,BG21,$K$20:$K$25,"&lt;&gt;",$L$20:$L$25,"&lt;&gt;",$N$20:$N$25,$AY24)</f>
        <v>0</v>
      </c>
      <c r="BH24" s="295">
        <f ca="1">RANK(BI24,BI22:BI25,1)</f>
        <v>1</v>
      </c>
      <c r="BI24" s="295">
        <f ca="1">SUM(IF(AND(AJ24=AJ25,AQ24=AQ25,AO24=AO25),BM24,0),IF(AND(AJ24=AJ22,AQ24=AQ22,AO24=AO22),BJ24,0),IF(AND(AJ24=AJ23,AQ24=AQ23,AO24=AO23),BK24,0))</f>
        <v>0</v>
      </c>
      <c r="BJ24" s="295">
        <f ca="1">BD24-BF22</f>
        <v>0</v>
      </c>
      <c r="BK24" s="295">
        <f ca="1">BE24-BF23</f>
        <v>0</v>
      </c>
      <c r="BL24" s="295">
        <v>0</v>
      </c>
      <c r="BM24" s="295">
        <f ca="1">BG24-BF25</f>
        <v>0</v>
      </c>
      <c r="BN24" s="295">
        <f ca="1">RANK(BO24,BO22:BO25,1)</f>
        <v>1</v>
      </c>
      <c r="BO24" s="295">
        <f ca="1">SUM(IF(AND(AJ24=AJ25,AQ24=AQ25,AO24=AO25),BS24,0),IF(AND(AJ24=AJ22,AQ24=AQ22,AO24=AO22),BP24,0),IF(AND(AJ24=AJ23,AQ24=AQ23,AO24=AO23),BQ24,0))</f>
        <v>0</v>
      </c>
      <c r="BP24" s="295">
        <f t="array" aca="1" ref="BP24" ca="1">SUM((I$4:I$33=AY24)*(N$4:N$33=BP21)*(K$4:K$33&lt;&gt;"")*(L$4:L$33&lt;&gt;"")*(K$4:K$33&gt;L$4:L$33)*3,(N$4:N$33=AY24)*(I$4:I$33=BP21)*(K$4:K$33&lt;&gt;"")*(L$4:L$33&lt;&gt;"")*(K$4:K$33=L$4:L$33)*1,(N$4:N$33=AY24)*(I$4:I$33=BP21)*(K$4:K$33&lt;&gt;"")*(L$4:L$33&lt;&gt;"")*(K$4:K$33&lt;L$4:L$33)*3,(I$4:I$33=AY24)*(N$4:N$33=BP21)*(K$4:K$33&lt;&gt;"")*(L$4:L$33&lt;&gt;"")*(K$4:K$33=L$4:L$33)*1)</f>
        <v>0</v>
      </c>
      <c r="BQ24" s="295">
        <f t="array" aca="1" ref="BQ24" ca="1">SUM((I$4:I$33=AY24)*(N$4:N$33=BQ21)*(K$4:K$33&lt;&gt;"")*(L$4:L$33&lt;&gt;"")*(K$4:K$33&gt;L$4:L$33)*3,(N$4:N$33=AY24)*(I$4:I$33=BQ21)*(K$4:K$33&lt;&gt;"")*(L$4:L$33&lt;&gt;"")*(K$4:K$33=L$4:L$33)*1,(N$4:N$33=AY24)*(I$4:I$33=BQ21)*(K$4:K$33&lt;&gt;"")*(L$4:L$33&lt;&gt;"")*(K$4:K$33&lt;L$4:L$33)*3,(I$4:I$33=AY24)*(N$4:N$33=BQ21)*(K$4:K$33&lt;&gt;"")*(L$4:L$33&lt;&gt;"")*(K$4:K$33=L$4:L$33)*1)</f>
        <v>0</v>
      </c>
      <c r="BR24" s="295">
        <v>0</v>
      </c>
      <c r="BS24" s="295">
        <f t="array" aca="1" ref="BS24" ca="1">SUM((I$4:I$33=AY24)*(N$4:N$33=BS21)*(K$4:K$33&lt;&gt;"")*(L$4:L$33&lt;&gt;"")*(K$4:K$33&gt;L$4:L$33)*3,(N$4:N$33=AY24)*(I$4:I$33=BS21)*(K$4:K$33&lt;&gt;"")*(L$4:L$33&lt;&gt;"")*(K$4:K$33=L$4:L$33)*1,(N$4:N$33=AY24)*(I$4:I$33=BS21)*(K$4:K$33&lt;&gt;"")*(L$4:L$33&lt;&gt;"")*(K$4:K$33&lt;L$4:L$33)*3,(I$4:I$33=AY24)*(N$4:N$33=BS21)*(K$4:K$33&lt;&gt;"")*(L$4:L$33&lt;&gt;"")*(K$4:K$33=L$4:L$33)*1)</f>
        <v>0</v>
      </c>
      <c r="BT24" s="268">
        <v>3</v>
      </c>
      <c r="BU24" s="268">
        <f ca="1">RANK(BW24,$BW$22:$BW$25)</f>
        <v>3</v>
      </c>
      <c r="BV24" s="268" t="str">
        <f ca="1">A23</f>
        <v>Panamá</v>
      </c>
      <c r="BW24" s="268">
        <f ca="1">IF(AK24=0,-($AW$10*VLOOKUP(AI24,Tabla3[[NombreEquipo]:[Rank]],3,FALSE)),AJ24*$AW$4+AQ24*$AW$5+AO24*$AW$6+BA24-($AW$10*VLOOKUP(AI24,Tabla3[[NombreEquipo]:[Rank]],3,FALSE)/100))</f>
        <v>-11</v>
      </c>
      <c r="BX24" s="268" t="str">
        <f ca="1">VLOOKUP(Q24,$AH$22:$AI$25,2,0)</f>
        <v>Panamá</v>
      </c>
      <c r="BY24" s="268">
        <f ca="1">VLOOKUP($BX24,$AI$22:$AR$25,10,FALSE)</f>
        <v>-11</v>
      </c>
      <c r="CC24" s="268">
        <f t="shared" ca="1" si="18"/>
        <v>3</v>
      </c>
      <c r="CD24" s="268" t="str">
        <f ca="1">A23</f>
        <v>Panamá</v>
      </c>
      <c r="CE24" s="268">
        <f ca="1">IF(AK24=0,-($AW$10*VLOOKUP(AI24,Tabla3[[NombreEquipo]:[Rank]],3,FALSE)),AJ24*$AW$4+AQ24*$AW$5+AO24*$AW$6+BA24-($AW$10*VLOOKUP(AI24,Tabla3[[NombreEquipo]:[Rank]],3,FALSE)/100))</f>
        <v>-11</v>
      </c>
      <c r="CF24" s="268">
        <f ca="1">IF(AK24=0,-($AW$10*VLOOKUP(AI24,Tabla3[[NombreEquipo]:[Rank]],3,FALSE)),AJ24*$AW$4+AQ24*$AW$5+AO24*$AW$6+BA24)</f>
        <v>-11</v>
      </c>
      <c r="CG24" s="268">
        <v>3</v>
      </c>
      <c r="CH24" s="268" t="str">
        <f t="shared" ca="1" si="19"/>
        <v>Panamá</v>
      </c>
      <c r="CI24" s="268">
        <f t="shared" ca="1" si="20"/>
        <v>-11</v>
      </c>
      <c r="CJ24" s="268">
        <f t="shared" ca="1" si="21"/>
        <v>1</v>
      </c>
      <c r="CM24" s="268">
        <v>3</v>
      </c>
      <c r="CN24" s="268">
        <f ca="1">HLOOKUP(CL22,$CX$4:$DE$9,5,0)</f>
        <v>3</v>
      </c>
      <c r="EG24" s="295"/>
      <c r="EI24" s="295"/>
      <c r="EK24" s="295"/>
    </row>
    <row r="25" spans="1:141" ht="15" thickBot="1" x14ac:dyDescent="0.35">
      <c r="A25" s="162"/>
      <c r="B25" s="162"/>
      <c r="C25" s="162"/>
      <c r="D25" s="150"/>
      <c r="E25" s="646"/>
      <c r="F25" s="62">
        <f>Horarios!C25</f>
        <v>45475.083333333336</v>
      </c>
      <c r="G25" s="63">
        <f>Horarios!C25</f>
        <v>45475.083333333336</v>
      </c>
      <c r="H25" s="62" t="str">
        <f>$H$8</f>
        <v>J3</v>
      </c>
      <c r="I25" s="64" t="str">
        <f ca="1">A24</f>
        <v>Bolivia</v>
      </c>
      <c r="J25" s="65" t="str">
        <f ca="1">VLOOKUP(I25,Equipos!$K$2:$L$21,2,0)</f>
        <v>🇧🇴</v>
      </c>
      <c r="K25" s="563"/>
      <c r="L25" s="563"/>
      <c r="M25" s="66" t="str">
        <f ca="1">VLOOKUP(N25,Equipos!$K$2:$L$21,2,0)</f>
        <v>🇵🇦</v>
      </c>
      <c r="N25" s="67" t="str">
        <f ca="1">A23</f>
        <v>Panamá</v>
      </c>
      <c r="O25" s="87">
        <f t="shared" si="15"/>
        <v>0</v>
      </c>
      <c r="P25" s="84"/>
      <c r="Q25" s="144">
        <v>4</v>
      </c>
      <c r="R25" s="145" t="str">
        <f ca="1">VLOOKUP(Q25,$AG$22:$AI$25,3,0)</f>
        <v>Bolivia</v>
      </c>
      <c r="S25" s="146">
        <f ca="1">VLOOKUP(R25,$AI$22:$AR$25,2,FALSE)</f>
        <v>0</v>
      </c>
      <c r="T25" s="146">
        <f ca="1">VLOOKUP($R25,$AI$22:$AR$25,3,FALSE)</f>
        <v>0</v>
      </c>
      <c r="U25" s="146">
        <f ca="1">VLOOKUP($R25,$AI$22:$AR$25,4,FALSE)</f>
        <v>0</v>
      </c>
      <c r="V25" s="146">
        <f ca="1">VLOOKUP($R25,$AI$22:$AR$25,5,FALSE)</f>
        <v>0</v>
      </c>
      <c r="W25" s="146">
        <f ca="1">VLOOKUP($R25,$AI$22:$AR$25,6,FALSE)</f>
        <v>0</v>
      </c>
      <c r="X25" s="146">
        <f ca="1">VLOOKUP($R25,$AI$22:$AR$25,7,FALSE)</f>
        <v>0</v>
      </c>
      <c r="Y25" s="146">
        <f ca="1">VLOOKUP($R25,$AI$22:$AR$25,8,FALSE)</f>
        <v>0</v>
      </c>
      <c r="Z25" s="147">
        <f ca="1">VLOOKUP($R25,$AI$22:$AR$25,9,FALSE)</f>
        <v>0</v>
      </c>
      <c r="AA25" s="75">
        <f ca="1">IF(SUM($AK$22:$AK$25)=12,MIN(ABS(BY24-BY25),ABS(BY25-BY26)),100)</f>
        <v>100</v>
      </c>
      <c r="AB25" s="94" t="str">
        <f ca="1">IF(AND(AA25&gt;=0,AA25&lt;90),VLOOKUP(Q25,$BU$22:$BV$25,2,0),"")</f>
        <v/>
      </c>
      <c r="AC25" s="74"/>
      <c r="AD25" s="75"/>
      <c r="AE25" s="72"/>
      <c r="AF25" s="293"/>
      <c r="AG25" s="268">
        <f ca="1">RANK(AU25,$AU$22:$AU$25)</f>
        <v>4</v>
      </c>
      <c r="AH25" s="268">
        <f ca="1">RANK(AR25,$AR$22:$AR$25)</f>
        <v>4</v>
      </c>
      <c r="AI25" s="268" t="str">
        <f ca="1">A24</f>
        <v>Bolivia</v>
      </c>
      <c r="AJ25" s="268">
        <f ca="1">AL25*3+AM25*1+AN25*0</f>
        <v>0</v>
      </c>
      <c r="AK25" s="268">
        <f ca="1">COUNTIFS($I$4:$I$33,AI25,$K$4:$K$33,"&lt;&gt;",$L$4:$L$33,"&lt;&gt;")+COUNTIFS($N$4:$N$33,AI25,$L$4:$L$33,"&lt;&gt;",$K$4:$K$33,"&lt;&gt;")</f>
        <v>0</v>
      </c>
      <c r="AL25" s="268">
        <f t="array" aca="1" ref="AL25" ca="1">SUM(($I$4:$I$33=AI25)*($K$4:$K$33&lt;&gt;"")*($L$4:$L$33&lt;&gt;"")*($K$4:$K$33&gt;$L$4:$L$33),($N$4:$N$33=AI25)*($K$4:$K$33&lt;&gt;"")*($L$4:$L$33&lt;&gt;"")*($K$4:$K$33&lt;$L$4:$L$33))</f>
        <v>0</v>
      </c>
      <c r="AM25" s="268">
        <f t="array" aca="1" ref="AM25" ca="1">SUM(($I$4:$I$33=AI25)*($K$4:$K$33&lt;&gt;"")*($L$4:$L$33&lt;&gt;"")*($K$4:$K$33=$L$4:$L$33),($N$4:$N$33=AI25)*($K$4:$K$33&lt;&gt;"")*($L$4:$L$33&lt;&gt;"")*($K$4:$K$33=$L$4:$L$33))</f>
        <v>0</v>
      </c>
      <c r="AN25" s="268">
        <f t="array" aca="1" ref="AN25" ca="1">SUM(($I$4:$I$33=AI25)*($L$4:$L$33&lt;&gt;"")*($K$4:$K$33&lt;&gt;"")*($K$4:$K$33&lt;$L$4:$L$33),($K$4:$K$33&lt;&gt;"")*($N$4:$N$33=AI25)*($L$4:$L$33&lt;&gt;"")*($K$4:$K$33&gt;$L$4:$L$33))</f>
        <v>0</v>
      </c>
      <c r="AO25" s="268">
        <f t="array" aca="1" ref="AO25" ca="1">SUMIFS($K$4:$K$33,$I$4:$I$33,AI25,$K$4:$K$33,"&lt;&gt;",$L$4:$L$33,"&lt;&gt;")+SUMIFS($L$4:$L$33,$N$4:$N$33,AI25,$K$4:$K$33,"&lt;&gt;",$L$4:$L$33,"&lt;&gt;")</f>
        <v>0</v>
      </c>
      <c r="AP25" s="268">
        <f t="array" aca="1" ref="AP25" ca="1">SUMIFS($K$4:$K$33,$N$4:$N$33,AI25,$K$4:$K$33,"&lt;&gt;",$L$4:$L$33,"&lt;&gt;")+SUMIFS($L$4:$L$33,$I$4:$I$33,AI25,$K$4:$K$33,"&lt;&gt;",$L$4:$L$33,"&lt;&gt;")</f>
        <v>0</v>
      </c>
      <c r="AQ25" s="268">
        <f ca="1">AO25-AP25</f>
        <v>0</v>
      </c>
      <c r="AR25" s="268">
        <f ca="1">IF(AK25=0,-($AW$10*VLOOKUP(AI25,Tabla3[[NombreEquipo]:[Rank]],3,FALSE)),AJ25*$AW$4+AQ25*$AW$5+AO25*$AW$6+BA25-($AW$10*VLOOKUP(AI25,Tabla3[[NombreEquipo]:[Rank]],3,FALSE)/100))</f>
        <v>-12</v>
      </c>
      <c r="AS25" s="268">
        <f ca="1">AH25</f>
        <v>4</v>
      </c>
      <c r="AU25" s="268">
        <f ca="1">IFERROR(AR25-VLOOKUP(AI25,$AB$22:$AC$25,2,0),AR25)</f>
        <v>-12</v>
      </c>
      <c r="AW25" s="294"/>
      <c r="AY25" s="297" t="str">
        <f ca="1">AI25</f>
        <v>Bolivia</v>
      </c>
      <c r="AZ25" s="268">
        <f ca="1">COUNTIF(AJ22:AJ25,AJ25)</f>
        <v>4</v>
      </c>
      <c r="BA25" s="268">
        <f ca="1">(BB25*$AW$9)+(BH25*$AW$8)+(BN25*$AW$7)</f>
        <v>111000</v>
      </c>
      <c r="BB25" s="295">
        <f ca="1">RANK(BC25,BC22:BC25,1)</f>
        <v>1</v>
      </c>
      <c r="BC25" s="295">
        <f ca="1">SUM(IF(AND(AJ25=AJ22,AQ25=AQ22,AO25=AO22),BD25,0),IF(AND(AJ25=AJ23,AQ25=AQ23,AO25=AO23),BE25,0),IF(AND(AJ25=AJ24,AQ25=AQ24,AO25=AO24),BF25,0))</f>
        <v>0</v>
      </c>
      <c r="BD25" s="295">
        <f t="array" aca="1" ref="BD25" ca="1">SUMIFS($K$20:$K$25,$I$20:$I$25,$AY25,$K$20:$K$25,"&lt;&gt;",$L$20:$L$25,"&lt;&gt;",$N$20:$N$25,BD21)+SUMIFS($L$20:$L$25,$I$20:$I$25,BD21,$K$20:$K$25,"&lt;&gt;",$L$20:$L$25,"&lt;&gt;",$N$20:$N$25,$AY25)</f>
        <v>0</v>
      </c>
      <c r="BE25" s="295">
        <f t="array" aca="1" ref="BE25" ca="1">SUMIFS($K$20:$K$25,$I$20:$I$25,$AY25,$K$20:$K$25,"&lt;&gt;",$L$20:$L$25,"&lt;&gt;",$N$20:$N$25,BE21)+SUMIFS($L$20:$L$25,$I$20:$I$25,BE21,$K$20:$K$25,"&lt;&gt;",$L$20:$L$25,"&lt;&gt;",$N$20:$N$25,$AY25)</f>
        <v>0</v>
      </c>
      <c r="BF25" s="295">
        <f t="array" aca="1" ref="BF25" ca="1">SUMIFS($K$20:$K$25,$I$20:$I$25,$AY25,$K$20:$K$25,"&lt;&gt;",$L$20:$L$25,"&lt;&gt;",$N$20:$N$25,BF21)+SUMIFS($L$20:$L$25,$I$20:$I$25,BF21,$K$20:$K$25,"&lt;&gt;",$L$20:$L$25,"&lt;&gt;",$N$20:$N$25,$AY25)</f>
        <v>0</v>
      </c>
      <c r="BG25" s="295">
        <v>0</v>
      </c>
      <c r="BH25" s="295">
        <f ca="1">RANK(BI25,BI22:BI25,1)</f>
        <v>1</v>
      </c>
      <c r="BI25" s="295">
        <f ca="1">SUM(IF(AND(AJ25=AJ22,AQ25=AQ22,AO25=AO22),BJ25,0),IF(AND(AJ25=AJ23,AQ25=AQ23,AO25=AO23),BK25,0),IF(AND(AJ25=AJ24,AQ25=AQ24,AO25=AO24),BL25,0))</f>
        <v>0</v>
      </c>
      <c r="BJ25" s="295">
        <f ca="1">BD25-BG22</f>
        <v>0</v>
      </c>
      <c r="BK25" s="295">
        <f ca="1">BE25-BG23</f>
        <v>0</v>
      </c>
      <c r="BL25" s="295">
        <f ca="1">BF25-BG24</f>
        <v>0</v>
      </c>
      <c r="BM25" s="295">
        <v>0</v>
      </c>
      <c r="BN25" s="295">
        <f ca="1">RANK(BO25,BO22:BO25,1)</f>
        <v>1</v>
      </c>
      <c r="BO25" s="295">
        <f ca="1">SUM(IF(AND(AJ25=AJ22,AQ25=AQ22,AO25=AO22),BP25,0),IF(AND(AJ25=AJ23,AQ25=AQ23,AO25=AO23),BQ25,0),IF(AND(AJ25=AJ24,AQ25=AQ24,AO25=AO24),BR25,0))</f>
        <v>0</v>
      </c>
      <c r="BP25" s="295">
        <f t="array" aca="1" ref="BP25" ca="1">SUM((I$4:I$33=AY25)*(N$4:N$33=BP21)*(K$4:K$33&lt;&gt;"")*(L$4:L$33&lt;&gt;"")*(K$4:K$33&gt;L$4:L$33)*3,(N$4:N$33=AY25)*(I$4:I$33=BP21)*(K$4:K$33&lt;&gt;"")*(L$4:L$33&lt;&gt;"")*(K$4:K$33=L$4:L$33)*1,(N$4:N$33=AY25)*(I$4:I$33=BP21)*(K$4:K$33&lt;&gt;"")*(L$4:L$33&lt;&gt;"")*(K$4:K$33&lt;L$4:L$33)*3,(I$4:I$33=AY25)*(N$4:N$33=BP21)*(K$4:K$33&lt;&gt;"")*(L$4:L$33&lt;&gt;"")*(K$4:K$33=L$4:L$33)*1)</f>
        <v>0</v>
      </c>
      <c r="BQ25" s="295">
        <f t="array" aca="1" ref="BQ25" ca="1">SUM((I$4:I$33=AY25)*(N$4:N$33=BQ21)*(K$4:K$33&lt;&gt;"")*(L$4:L$33&lt;&gt;"")*(K$4:K$33&gt;L$4:L$33)*3,(N$4:N$33=AY25)*(I$4:I$33=BQ21)*(K$4:K$33&lt;&gt;"")*(L$4:L$33&lt;&gt;"")*(K$4:K$33=L$4:L$33)*1,(N$4:N$33=AY25)*(I$4:I$33=BQ21)*(K$4:K$33&lt;&gt;"")*(L$4:L$33&lt;&gt;"")*(K$4:K$33&lt;L$4:L$33)*3,(I$4:I$33=AY25)*(N$4:N$33=BQ21)*(K$4:K$33&lt;&gt;"")*(L$4:L$33&lt;&gt;"")*(K$4:K$33=L$4:L$33)*1)</f>
        <v>0</v>
      </c>
      <c r="BR25" s="295">
        <f t="array" aca="1" ref="BR25" ca="1">SUM((I$4:I$33=AY25)*(N$4:N$33=BR21)*(K$4:K$33&lt;&gt;"")*(L$4:L$33&lt;&gt;"")*(K$4:K$33&gt;L$4:L$33)*3,(N$4:N$33=AY25)*(I$4:I$33=BR21)*(K$4:K$33&lt;&gt;"")*(L$4:L$33&lt;&gt;"")*(K$4:K$33=L$4:L$33)*1,(N$4:N$33=AY25)*(I$4:I$33=BR21)*(K$4:K$33&lt;&gt;"")*(L$4:L$33&lt;&gt;"")*(K$4:K$33&lt;L$4:L$33)*3,(I$4:I$33=AY25)*(N$4:N$33=BR21)*(K$4:K$33&lt;&gt;"")*(L$4:L$33&lt;&gt;"")*(K$4:K$33=L$4:L$33)*1)</f>
        <v>0</v>
      </c>
      <c r="BS25" s="295">
        <v>0</v>
      </c>
      <c r="BT25" s="268">
        <v>4</v>
      </c>
      <c r="BU25" s="268">
        <f ca="1">RANK(BW25,$BW$22:$BW$25)</f>
        <v>4</v>
      </c>
      <c r="BV25" s="268" t="str">
        <f ca="1">A24</f>
        <v>Bolivia</v>
      </c>
      <c r="BW25" s="268">
        <f ca="1">IF(AK25=0,-($AW$10*VLOOKUP(AI25,Tabla3[[NombreEquipo]:[Rank]],3,FALSE)),AJ25*$AW$4+AQ25*$AW$5+AO25*$AW$6+BA25-($AW$10*VLOOKUP(AI25,Tabla3[[NombreEquipo]:[Rank]],3,FALSE)/100))</f>
        <v>-12</v>
      </c>
      <c r="BX25" s="268" t="str">
        <f ca="1">VLOOKUP(Q25,$AH$22:$AI$25,2,0)</f>
        <v>Bolivia</v>
      </c>
      <c r="BY25" s="268">
        <f ca="1">VLOOKUP($BX25,$AI$22:$AR$25,10,FALSE)</f>
        <v>-12</v>
      </c>
      <c r="CC25" s="268">
        <f t="shared" ca="1" si="18"/>
        <v>4</v>
      </c>
      <c r="CD25" s="268" t="str">
        <f ca="1">A24</f>
        <v>Bolivia</v>
      </c>
      <c r="CE25" s="268">
        <f ca="1">IF(AK25=0,-($AW$10*VLOOKUP(AI25,Tabla3[[NombreEquipo]:[Rank]],3,FALSE)),AJ25*$AW$4+AQ25*$AW$5+AO25*$AW$6+BA25-($AW$10*VLOOKUP(AI25,Tabla3[[NombreEquipo]:[Rank]],3,FALSE)/100))</f>
        <v>-12</v>
      </c>
      <c r="CF25" s="268">
        <f ca="1">IF(AK25=0,-($AW$10*VLOOKUP(AI25,Tabla3[[NombreEquipo]:[Rank]],3,FALSE)),AJ25*$AW$4+AQ25*$AW$5+AO25*$AW$6+BA25)</f>
        <v>-12</v>
      </c>
      <c r="CG25" s="268">
        <v>4</v>
      </c>
      <c r="CH25" s="268" t="str">
        <f t="shared" ca="1" si="19"/>
        <v>Bolivia</v>
      </c>
      <c r="CI25" s="268">
        <f t="shared" ca="1" si="20"/>
        <v>-12</v>
      </c>
      <c r="CJ25" s="268">
        <f t="shared" ca="1" si="21"/>
        <v>1</v>
      </c>
      <c r="CM25" s="268">
        <v>4</v>
      </c>
      <c r="CN25" s="268">
        <f ca="1">HLOOKUP(CL22,$CX$4:$DE$9,6,0)</f>
        <v>4</v>
      </c>
      <c r="EG25" s="295"/>
      <c r="EI25" s="295"/>
      <c r="EK25" s="295"/>
    </row>
    <row r="26" spans="1:141" x14ac:dyDescent="0.3">
      <c r="A26" s="162"/>
      <c r="B26" s="162"/>
      <c r="C26" s="162"/>
      <c r="D26" s="150"/>
      <c r="E26" s="68"/>
      <c r="F26" s="78"/>
      <c r="G26" s="68"/>
      <c r="H26" s="68"/>
      <c r="I26" s="68"/>
      <c r="J26" s="68"/>
      <c r="K26" s="68"/>
      <c r="L26" s="68"/>
      <c r="M26" s="68"/>
      <c r="N26" s="68"/>
      <c r="O26" s="68"/>
      <c r="P26" s="68"/>
      <c r="Q26" s="68"/>
      <c r="R26" s="68"/>
      <c r="S26" s="68"/>
      <c r="T26" s="68"/>
      <c r="U26" s="68"/>
      <c r="V26" s="68"/>
      <c r="W26" s="68"/>
      <c r="X26" s="68"/>
      <c r="Y26" s="68"/>
      <c r="Z26" s="68"/>
      <c r="AA26" s="68"/>
      <c r="AB26" s="68"/>
      <c r="AC26" s="76"/>
      <c r="AD26" s="75"/>
      <c r="AE26" s="72"/>
      <c r="AF26" s="293"/>
      <c r="AW26" s="294"/>
      <c r="AY26" s="297"/>
      <c r="BB26" s="295"/>
      <c r="BC26" s="295"/>
      <c r="BD26" s="295"/>
      <c r="BE26" s="295"/>
      <c r="BF26" s="295"/>
      <c r="BG26" s="295"/>
      <c r="BH26" s="295"/>
      <c r="BI26" s="295"/>
      <c r="BJ26" s="295"/>
      <c r="BK26" s="295"/>
      <c r="BL26" s="295"/>
      <c r="BM26" s="295"/>
      <c r="BN26" s="295"/>
      <c r="BO26" s="295"/>
      <c r="BP26" s="295"/>
      <c r="BQ26" s="295"/>
      <c r="BR26" s="295"/>
      <c r="BS26" s="295"/>
      <c r="EG26" s="295"/>
      <c r="EI26" s="295"/>
      <c r="EK26" s="295"/>
    </row>
    <row r="27" spans="1:141" ht="15" thickBot="1" x14ac:dyDescent="0.35">
      <c r="A27" s="162"/>
      <c r="B27" s="235"/>
      <c r="C27" s="162"/>
      <c r="D27" s="68"/>
      <c r="E27" s="88"/>
      <c r="F27" s="85" t="str">
        <f>F11</f>
        <v>Fecha</v>
      </c>
      <c r="G27" s="85" t="str">
        <f t="shared" ref="G27:I27" si="22">G11</f>
        <v>Hora</v>
      </c>
      <c r="H27" s="89" t="str">
        <f t="shared" si="22"/>
        <v>Jor.</v>
      </c>
      <c r="I27" s="153" t="str">
        <f t="shared" si="22"/>
        <v>Casa</v>
      </c>
      <c r="J27" s="85"/>
      <c r="K27" s="85" t="str">
        <f>K3</f>
        <v>Gol</v>
      </c>
      <c r="L27" s="85" t="str">
        <f>L3</f>
        <v>Gol</v>
      </c>
      <c r="M27" s="85"/>
      <c r="N27" s="88" t="str">
        <f t="shared" ref="N27" si="23">N11</f>
        <v>Fuera</v>
      </c>
      <c r="O27" s="70"/>
      <c r="P27" s="70"/>
      <c r="Q27" s="70"/>
      <c r="R27" s="70"/>
      <c r="S27" s="70"/>
      <c r="T27" s="70"/>
      <c r="U27" s="70"/>
      <c r="V27" s="70"/>
      <c r="W27" s="70"/>
      <c r="X27" s="70"/>
      <c r="Y27" s="70"/>
      <c r="Z27" s="70"/>
      <c r="AA27" s="71"/>
      <c r="AB27" s="71"/>
      <c r="AC27" s="71"/>
      <c r="AD27" s="71"/>
      <c r="AE27" s="72"/>
      <c r="AF27" s="293"/>
      <c r="AW27" s="294"/>
      <c r="CA27" s="293"/>
      <c r="CB27" s="293"/>
    </row>
    <row r="28" spans="1:141" x14ac:dyDescent="0.3">
      <c r="A28" s="234" t="s">
        <v>64</v>
      </c>
      <c r="B28" s="235" t="s">
        <v>110</v>
      </c>
      <c r="C28" s="283">
        <f>COUNTIF(Equipos!$C$2:$C$17,'COPA AMERICA'!B28)</f>
        <v>4</v>
      </c>
      <c r="D28" s="150"/>
      <c r="E28" s="647" t="s">
        <v>110</v>
      </c>
      <c r="F28" s="198">
        <f>Horarios!C28</f>
        <v>45467.958333333336</v>
      </c>
      <c r="G28" s="199">
        <f>Horarios!C28</f>
        <v>45467.958333333336</v>
      </c>
      <c r="H28" s="198" t="str">
        <f>$H$4</f>
        <v>J1</v>
      </c>
      <c r="I28" s="200" t="str">
        <f ca="1">A30</f>
        <v>Colombia</v>
      </c>
      <c r="J28" s="201" t="str">
        <f ca="1">VLOOKUP(I28,Equipos!$K$2:$L$21,2,0)</f>
        <v>🇨🇴</v>
      </c>
      <c r="K28" s="564"/>
      <c r="L28" s="564"/>
      <c r="M28" s="202" t="str">
        <f ca="1">VLOOKUP(N28,Equipos!$K$2:$L$21,2,0)</f>
        <v>🇵🇾</v>
      </c>
      <c r="N28" s="203" t="str">
        <f ca="1">A31</f>
        <v>Paraguay</v>
      </c>
      <c r="O28" s="87">
        <f>IF(NOT(OR(ISBLANK(K28),ISBLANK(L28))),1,0)</f>
        <v>0</v>
      </c>
      <c r="P28" s="84"/>
      <c r="Q28" s="211" t="str">
        <f>CONCATENATE(Q3," ",B28)</f>
        <v>Grupo D</v>
      </c>
      <c r="R28" s="212"/>
      <c r="S28" s="212"/>
      <c r="T28" s="212"/>
      <c r="U28" s="212"/>
      <c r="V28" s="212"/>
      <c r="W28" s="212"/>
      <c r="X28" s="212"/>
      <c r="Y28" s="212"/>
      <c r="Z28" s="213"/>
      <c r="AA28" s="93"/>
      <c r="AB28" s="631" t="str">
        <f ca="1">IF($AA$29&gt;0,AB3,"")</f>
        <v/>
      </c>
      <c r="AC28" s="631"/>
      <c r="AD28" s="631"/>
      <c r="AE28" s="72"/>
      <c r="AF28" s="293"/>
      <c r="AH28" s="268" t="str">
        <f>CONCATENATE("Auxiliar - ",Q28)</f>
        <v>Auxiliar - Grupo D</v>
      </c>
      <c r="AU28" s="268" t="s">
        <v>41</v>
      </c>
      <c r="AW28" s="294"/>
      <c r="AY28" s="293" t="str">
        <f>CONCATENATE(Q28," - GOLAVERAGE")</f>
        <v>Grupo D - GOLAVERAGE</v>
      </c>
      <c r="BB28" s="268" t="s">
        <v>29</v>
      </c>
      <c r="BH28" s="268" t="s">
        <v>28</v>
      </c>
      <c r="BN28" s="295"/>
      <c r="BO28" s="295"/>
      <c r="BP28" s="295"/>
      <c r="BQ28" s="295"/>
      <c r="BR28" s="295"/>
      <c r="BS28" s="295"/>
      <c r="EK28" s="295"/>
    </row>
    <row r="29" spans="1:141" ht="15" thickBot="1" x14ac:dyDescent="0.35">
      <c r="A29" s="234" t="str">
        <f t="array" aca="1" ref="A29" ca="1">IF(ROWS(A$29:A29)&lt;=$C$28,INDEX(INDIRECT(A$28),SMALL(IF(Nivell=$B$28,ROW(Nivell)-ROW(Equipos!$C$2)+1),ROWS(B$28:B28))),"")</f>
        <v>Brasil</v>
      </c>
      <c r="B29" s="235"/>
      <c r="C29" s="235"/>
      <c r="D29" s="150"/>
      <c r="E29" s="648"/>
      <c r="F29" s="193">
        <f>Horarios!C29</f>
        <v>45468.083333333336</v>
      </c>
      <c r="G29" s="194">
        <f>Horarios!C29</f>
        <v>45468.083333333336</v>
      </c>
      <c r="H29" s="193" t="str">
        <f>$H$4</f>
        <v>J1</v>
      </c>
      <c r="I29" s="195" t="str">
        <f ca="1">A29</f>
        <v>Brasil</v>
      </c>
      <c r="J29" s="196" t="str">
        <f ca="1">VLOOKUP(I29,Equipos!$K$2:$L$21,2,0)</f>
        <v>🇧🇷</v>
      </c>
      <c r="K29" s="565"/>
      <c r="L29" s="565"/>
      <c r="M29" s="197" t="str">
        <f ca="1">VLOOKUP(N29,Equipos!$K$2:$L$21,2,0)</f>
        <v>🇨🇷</v>
      </c>
      <c r="N29" s="204" t="str">
        <f ca="1">A32</f>
        <v>Costa Rica</v>
      </c>
      <c r="O29" s="87">
        <f t="shared" ref="O29:O33" si="24">IF(NOT(OR(ISBLANK(K29),ISBLANK(L29))),1,0)</f>
        <v>0</v>
      </c>
      <c r="P29" s="84"/>
      <c r="Q29" s="220" t="str">
        <f>Q5</f>
        <v>Pos</v>
      </c>
      <c r="R29" s="221" t="str">
        <f>R5</f>
        <v>Selección</v>
      </c>
      <c r="S29" s="222" t="str">
        <f t="shared" ref="S29:Y29" si="25">S5</f>
        <v>Pts</v>
      </c>
      <c r="T29" s="222" t="str">
        <f t="shared" si="25"/>
        <v>J</v>
      </c>
      <c r="U29" s="222" t="str">
        <f t="shared" si="25"/>
        <v>G</v>
      </c>
      <c r="V29" s="222" t="str">
        <f t="shared" si="25"/>
        <v>E</v>
      </c>
      <c r="W29" s="222" t="str">
        <f t="shared" si="25"/>
        <v>P</v>
      </c>
      <c r="X29" s="222" t="str">
        <f t="shared" si="25"/>
        <v>GF</v>
      </c>
      <c r="Y29" s="222" t="str">
        <f t="shared" si="25"/>
        <v>GC</v>
      </c>
      <c r="Z29" s="223" t="str">
        <f>Z5</f>
        <v>DG</v>
      </c>
      <c r="AA29" s="93">
        <f ca="1">COUNTIF(AA30:AA33,"&lt;100")</f>
        <v>0</v>
      </c>
      <c r="AB29" s="631"/>
      <c r="AC29" s="631"/>
      <c r="AD29" s="631"/>
      <c r="AE29" s="72"/>
      <c r="AF29" s="293"/>
      <c r="AG29" s="296" t="s">
        <v>41</v>
      </c>
      <c r="AH29" s="296" t="s">
        <v>13</v>
      </c>
      <c r="AI29" s="296" t="s">
        <v>5</v>
      </c>
      <c r="AJ29" s="296" t="s">
        <v>14</v>
      </c>
      <c r="AK29" s="296" t="s">
        <v>6</v>
      </c>
      <c r="AL29" s="296" t="s">
        <v>7</v>
      </c>
      <c r="AM29" s="296" t="s">
        <v>3</v>
      </c>
      <c r="AN29" s="296" t="s">
        <v>8</v>
      </c>
      <c r="AO29" s="296" t="s">
        <v>9</v>
      </c>
      <c r="AP29" s="296" t="s">
        <v>10</v>
      </c>
      <c r="AQ29" s="296" t="s">
        <v>11</v>
      </c>
      <c r="AR29" s="296" t="s">
        <v>15</v>
      </c>
      <c r="AS29" s="296" t="s">
        <v>13</v>
      </c>
      <c r="AW29" s="294"/>
      <c r="AY29" s="296" t="s">
        <v>5</v>
      </c>
      <c r="AZ29" s="296" t="s">
        <v>30</v>
      </c>
      <c r="BA29" s="296" t="s">
        <v>33</v>
      </c>
      <c r="BB29" s="296" t="s">
        <v>32</v>
      </c>
      <c r="BC29" s="296" t="s">
        <v>27</v>
      </c>
      <c r="BD29" s="296" t="str">
        <f ca="1">AY30</f>
        <v>Brasil</v>
      </c>
      <c r="BE29" s="296" t="str">
        <f ca="1">AY31</f>
        <v>Colombia</v>
      </c>
      <c r="BF29" s="296" t="str">
        <f ca="1">AY32</f>
        <v>Paraguay</v>
      </c>
      <c r="BG29" s="296" t="str">
        <f ca="1">AY33</f>
        <v>Costa Rica</v>
      </c>
      <c r="BH29" s="296" t="s">
        <v>32</v>
      </c>
      <c r="BI29" s="296" t="s">
        <v>27</v>
      </c>
      <c r="BJ29" s="296" t="str">
        <f ca="1">BD29</f>
        <v>Brasil</v>
      </c>
      <c r="BK29" s="296" t="str">
        <f ca="1">BE29</f>
        <v>Colombia</v>
      </c>
      <c r="BL29" s="296" t="str">
        <f ca="1">BF29</f>
        <v>Paraguay</v>
      </c>
      <c r="BM29" s="296" t="str">
        <f ca="1">BG29</f>
        <v>Costa Rica</v>
      </c>
      <c r="BN29" s="296" t="s">
        <v>32</v>
      </c>
      <c r="BO29" s="296" t="s">
        <v>27</v>
      </c>
      <c r="BP29" s="296" t="str">
        <f ca="1">BD29</f>
        <v>Brasil</v>
      </c>
      <c r="BQ29" s="296" t="str">
        <f ca="1">BE29</f>
        <v>Colombia</v>
      </c>
      <c r="BR29" s="296" t="str">
        <f ca="1">BF29</f>
        <v>Paraguay</v>
      </c>
      <c r="BS29" s="296" t="str">
        <f ca="1">BG29</f>
        <v>Costa Rica</v>
      </c>
      <c r="BU29" s="293"/>
      <c r="BV29" s="293" t="s">
        <v>42</v>
      </c>
      <c r="BW29" s="293"/>
      <c r="BX29" s="293" t="s">
        <v>43</v>
      </c>
      <c r="BY29" s="293"/>
      <c r="CC29" s="293" t="s">
        <v>197</v>
      </c>
      <c r="CD29" s="297" t="s">
        <v>204</v>
      </c>
      <c r="CE29" s="296" t="s">
        <v>198</v>
      </c>
      <c r="CF29" s="296" t="s">
        <v>199</v>
      </c>
      <c r="CG29" s="293" t="s">
        <v>196</v>
      </c>
      <c r="CH29" s="296" t="s">
        <v>195</v>
      </c>
      <c r="CI29" s="296"/>
      <c r="CJ29" s="296"/>
      <c r="CK29" s="296"/>
      <c r="CL29" s="296"/>
      <c r="CM29" s="296"/>
      <c r="CN29" s="296"/>
      <c r="CP29" s="268">
        <v>1</v>
      </c>
      <c r="CQ29" s="268">
        <v>2</v>
      </c>
      <c r="CR29" s="268">
        <v>3</v>
      </c>
      <c r="CS29" s="268">
        <v>4</v>
      </c>
      <c r="EG29" s="296"/>
      <c r="EI29" s="296"/>
      <c r="EK29" s="296"/>
    </row>
    <row r="30" spans="1:141" x14ac:dyDescent="0.3">
      <c r="A30" s="234" t="str">
        <f t="array" aca="1" ref="A30" ca="1">IF(ROWS(A$29:A30)&lt;=$C$28,INDEX(INDIRECT(A$28),SMALL(IF(Nivell=$B$28,ROW(Nivell)-ROW(Equipos!$C$2)+1),ROWS(B$28:B29))),"")</f>
        <v>Colombia</v>
      </c>
      <c r="B30" s="235"/>
      <c r="C30" s="236"/>
      <c r="D30" s="150"/>
      <c r="E30" s="648"/>
      <c r="F30" s="193">
        <f>Horarios!C30</f>
        <v>45471.958333333336</v>
      </c>
      <c r="G30" s="194">
        <f>Horarios!C30</f>
        <v>45471.958333333336</v>
      </c>
      <c r="H30" s="193" t="str">
        <f>$H$6</f>
        <v>J2</v>
      </c>
      <c r="I30" s="195" t="str">
        <f ca="1">A30</f>
        <v>Colombia</v>
      </c>
      <c r="J30" s="196" t="str">
        <f ca="1">VLOOKUP(I30,Equipos!$K$2:$L$21,2,0)</f>
        <v>🇨🇴</v>
      </c>
      <c r="K30" s="565"/>
      <c r="L30" s="565"/>
      <c r="M30" s="197" t="str">
        <f ca="1">VLOOKUP(N30,Equipos!$K$2:$L$21,2,0)</f>
        <v>🇨🇷</v>
      </c>
      <c r="N30" s="204" t="str">
        <f ca="1">A32</f>
        <v>Costa Rica</v>
      </c>
      <c r="O30" s="87">
        <f t="shared" si="24"/>
        <v>0</v>
      </c>
      <c r="P30" s="84"/>
      <c r="Q30" s="224">
        <v>1</v>
      </c>
      <c r="R30" s="225" t="str">
        <f ca="1">VLOOKUP(Q30,$AG$30:$AI$33,3,0)</f>
        <v>Brasil</v>
      </c>
      <c r="S30" s="226">
        <f ca="1">VLOOKUP(R30,$AI$30:$AR$33,2,FALSE)</f>
        <v>0</v>
      </c>
      <c r="T30" s="226">
        <f ca="1">VLOOKUP($R30,$AI$30:$AR$33,3,FALSE)</f>
        <v>0</v>
      </c>
      <c r="U30" s="226">
        <f ca="1">VLOOKUP($R30,$AI$30:$AR$33,4,FALSE)</f>
        <v>0</v>
      </c>
      <c r="V30" s="226">
        <f ca="1">VLOOKUP($R30,$AI$30:$AR$33,5,FALSE)</f>
        <v>0</v>
      </c>
      <c r="W30" s="226">
        <f ca="1">VLOOKUP($R30,$AI$30:$AR$33,6,FALSE)</f>
        <v>0</v>
      </c>
      <c r="X30" s="226">
        <f ca="1">VLOOKUP($R30,$AI$30:$AR$33,7,FALSE)</f>
        <v>0</v>
      </c>
      <c r="Y30" s="226">
        <f ca="1">VLOOKUP($R30,$AI$30:$AR$33,8,FALSE)</f>
        <v>0</v>
      </c>
      <c r="Z30" s="227">
        <f ca="1">VLOOKUP($R30,$AI$30:$AR$33,9,FALSE)</f>
        <v>0</v>
      </c>
      <c r="AA30" s="75">
        <f ca="1">IF(SUM($AK$30:$AK$33)=12,MIN(ABS(BY29-BY30),ABS(BY30-BY31)),100)</f>
        <v>100</v>
      </c>
      <c r="AB30" s="94" t="str">
        <f ca="1">IF(AND(AA30&gt;=0,AA30&lt;90),VLOOKUP(Q30,$BU$30:$BV$33,2,0),"")</f>
        <v/>
      </c>
      <c r="AC30" s="74"/>
      <c r="AD30" s="75"/>
      <c r="AE30" s="72"/>
      <c r="AF30" s="293"/>
      <c r="AG30" s="268">
        <f ca="1">RANK(AU30,$AU$30:$AU$33)</f>
        <v>1</v>
      </c>
      <c r="AH30" s="268">
        <f ca="1">RANK(AR30,$AR$30:$AR$33)</f>
        <v>1</v>
      </c>
      <c r="AI30" s="268" t="str">
        <f ca="1">A29</f>
        <v>Brasil</v>
      </c>
      <c r="AJ30" s="268">
        <f ca="1">AL30*3+AM30*1+AN30*0</f>
        <v>0</v>
      </c>
      <c r="AK30" s="268">
        <f ca="1">COUNTIFS($I$4:$I$33,AI30,$K$4:$K$33,"&lt;&gt;",$L$4:$L$33,"&lt;&gt;")+COUNTIFS($N$4:$N$33,AI30,$L$4:$L$33,"&lt;&gt;",$K$4:$K$33,"&lt;&gt;")</f>
        <v>0</v>
      </c>
      <c r="AL30" s="268">
        <f t="array" aca="1" ref="AL30" ca="1">SUM(($I$4:$I$33=AI30)*($K$4:$K$33&lt;&gt;"")*($L$4:$L$33&lt;&gt;"")*($K$4:$K$33&gt;$L$4:$L$33),($N$4:$N$33=AI30)*($K$4:$K$33&lt;&gt;"")*($L$4:$L$33&lt;&gt;"")*($K$4:$K$33&lt;$L$4:$L$33))</f>
        <v>0</v>
      </c>
      <c r="AM30" s="268">
        <f t="array" aca="1" ref="AM30" ca="1">SUM(($I$4:$I$33=AI30)*($K$4:$K$33&lt;&gt;"")*($L$4:$L$33&lt;&gt;"")*($K$4:$K$33=$L$4:$L$33),($N$4:$N$33=AI30)*($K$4:$K$33&lt;&gt;"")*($L$4:$L$33&lt;&gt;"")*($K$4:$K$33=$L$4:$L$33))</f>
        <v>0</v>
      </c>
      <c r="AN30" s="268">
        <f t="array" aca="1" ref="AN30" ca="1">SUM(($I$4:$I$33=AI30)*($L$4:$L$33&lt;&gt;"")*($K$4:$K$33&lt;&gt;"")*($K$4:$K$33&lt;$L$4:$L$33),($K$4:$K$33&lt;&gt;"")*($N$4:$N$33=AI30)*($L$4:$L$33&lt;&gt;"")*($K$4:$K$33&gt;$L$4:$L$33))</f>
        <v>0</v>
      </c>
      <c r="AO30" s="268">
        <f t="array" aca="1" ref="AO30" ca="1">SUMIFS($K$4:$K$33,$I$4:$I$33,AI30,$K$4:$K$33,"&lt;&gt;",$L$4:$L$33,"&lt;&gt;")+SUMIFS($L$4:$L$33,$N$4:$N$33,AI30,$K$4:$K$33,"&lt;&gt;",$L$4:$L$33,"&lt;&gt;")</f>
        <v>0</v>
      </c>
      <c r="AP30" s="268">
        <f t="array" aca="1" ref="AP30" ca="1">SUMIFS($K$4:$K$33,$N$4:$N$33,AI30,$K$4:$K$33,"&lt;&gt;",$L$4:$L$33,"&lt;&gt;")+SUMIFS($L$4:$L$33,$I$4:$I$33,AI30,$K$4:$K$33,"&lt;&gt;",$L$4:$L$33,"&lt;&gt;")</f>
        <v>0</v>
      </c>
      <c r="AQ30" s="268">
        <f ca="1">AO30-AP30</f>
        <v>0</v>
      </c>
      <c r="AR30" s="268">
        <f ca="1">IF(AK30=0,-($AW$10*VLOOKUP(AI30,Tabla3[[NombreEquipo]:[Rank]],3,FALSE)),AJ30*$AW$4+AQ30*$AW$5+AO30*$AW$6+BA30-($AW$10*VLOOKUP(AI30,Tabla3[[NombreEquipo]:[Rank]],3,FALSE)/100))</f>
        <v>-13</v>
      </c>
      <c r="AS30" s="268">
        <f ca="1">AH30</f>
        <v>1</v>
      </c>
      <c r="AU30" s="268">
        <f ca="1">IFERROR(AR30-VLOOKUP(AI30,$AB$30:$AC$33,2,0),AR30)</f>
        <v>-13</v>
      </c>
      <c r="AY30" s="297" t="str">
        <f ca="1">AI30</f>
        <v>Brasil</v>
      </c>
      <c r="AZ30" s="268">
        <f ca="1">COUNTIF(AJ30:AJ33,AJ30)</f>
        <v>4</v>
      </c>
      <c r="BA30" s="268">
        <f ca="1">(BB30*$AW$9)+(BH30*$AW$8)+(BN30*$AW$7)</f>
        <v>111000</v>
      </c>
      <c r="BB30" s="295">
        <f ca="1">RANK(BC30,BC30:BC33,1)</f>
        <v>1</v>
      </c>
      <c r="BC30" s="295">
        <f ca="1">SUM(IF(AND(AJ30=AJ31,AQ30=AQ31,AO30=AO31),BE30,0),IF(AND(AJ30=AJ32,AQ30=AQ32,AO30=AO32),BF30,0),IF(AND(AJ30=AJ33,AQ30=AQ33,AO30=AO33),BG30,0))</f>
        <v>0</v>
      </c>
      <c r="BD30" s="295">
        <v>0</v>
      </c>
      <c r="BE30" s="295">
        <f t="array" aca="1" ref="BE30" ca="1">SUMIFS($K$28:$K$33,$I$28:$I$33,$AY30,$K$28:$K$33,"&lt;&gt;",$L$28:$L$33,"&lt;&gt;",$N$28:$N$33,BE29)+SUMIFS($L$28:$L$33,$I$28:$I$33,BE29,$K$28:$K$33,"&lt;&gt;",$L$28:$L$33,"&lt;&gt;",$N$28:$N$33,$AY30)</f>
        <v>0</v>
      </c>
      <c r="BF30" s="295">
        <f t="array" aca="1" ref="BF30" ca="1">SUMIFS($K$28:$K$33,$I$28:$I$33,$AY30,$K$28:$K$33,"&lt;&gt;",$L$28:$L$33,"&lt;&gt;",$N$28:$N$33,BF29)+SUMIFS($L$28:$L$33,$I$28:$I$33,BF29,$K$28:$K$33,"&lt;&gt;",$L$28:$L$33,"&lt;&gt;",$N$28:$N$33,$AY30)</f>
        <v>0</v>
      </c>
      <c r="BG30" s="295">
        <f t="array" aca="1" ref="BG30" ca="1">SUMIFS($K$28:$K$33,$I$28:$I$33,$AY30,$K$28:$K$33,"&lt;&gt;",$L$28:$L$33,"&lt;&gt;",$N$28:$N$33,BG29)+SUMIFS($L$28:$L$33,$I$28:$I$33,BG29,$K$28:$K$33,"&lt;&gt;",$L$28:$L$33,"&lt;&gt;",$N$28:$N$33,$AY30)</f>
        <v>0</v>
      </c>
      <c r="BH30" s="295">
        <f ca="1">RANK(BI30,BI30:BI33,1)</f>
        <v>1</v>
      </c>
      <c r="BI30" s="295">
        <f ca="1">SUM(IF(AND(AJ30=AJ31,AQ30=AQ31,AO30=AO31),BK30,0),IF(AND(AJ30=AJ32,AQ30=AQ32,AO30=AO32),BL30,0),IF(AND(AJ30=AJ33,AQ30=AQ33,AO30=AO33),BM30,0))</f>
        <v>0</v>
      </c>
      <c r="BJ30" s="295">
        <v>0</v>
      </c>
      <c r="BK30" s="295">
        <f ca="1">BE30-BD31</f>
        <v>0</v>
      </c>
      <c r="BL30" s="295">
        <f ca="1">BF30-BD32</f>
        <v>0</v>
      </c>
      <c r="BM30" s="295">
        <f ca="1">BG30-BD33</f>
        <v>0</v>
      </c>
      <c r="BN30" s="295">
        <f ca="1">RANK(BO30,BO30:BO33,1)</f>
        <v>1</v>
      </c>
      <c r="BO30" s="295">
        <f ca="1">SUM(IF(AND(AJ30=AJ31,AQ30=AQ31,AO30=AO31),BQ30,0),IF(AND(AJ30=AJ32,AQ30=AQ32,AO30=AO32),BR30,0),IF(AND(AJ30=AJ33,AQ30=AQ33,AO30=AO33),BS30,0))</f>
        <v>0</v>
      </c>
      <c r="BP30" s="295">
        <v>0</v>
      </c>
      <c r="BQ30" s="295">
        <f t="array" aca="1" ref="BQ30" ca="1">SUM((I$4:I$33=AY30)*(N$4:N$33=BQ29)*(K$4:K$33&lt;&gt;"")*(L$4:L$33&lt;&gt;"")*(K$4:K$33&gt;L$4:L$33)*3,(N$4:N$33=AY30)*(I$4:I$33=BQ29)*(K$4:K$33&lt;&gt;"")*(L$4:L$33&lt;&gt;"")*(K$4:K$33=L$4:L$33)*1,(N$4:N$33=AY30)*(I$4:I$33=BQ29)*(K$4:K$33&lt;&gt;"")*(L$4:L$33&lt;&gt;"")*(K$4:K$33&lt;L$4:L$33)*3,(I$4:I$33=AY30)*(N$4:N$33=BQ29)*(K$4:K$33&lt;&gt;"")*(L$4:L$33&lt;&gt;"")*(K$4:K$33=L$4:L$33)*1)</f>
        <v>0</v>
      </c>
      <c r="BR30" s="295">
        <f t="array" aca="1" ref="BR30" ca="1">SUM((I$4:I$33=AY30)*(N$4:N$33=BR29)*(K$4:K$33&lt;&gt;"")*(L$4:L$33&lt;&gt;"")*(K$4:K$33&gt;L$4:L$33)*3,(N$4:N$33=AY30)*(I$4:I$33=BR29)*(K$4:K$33&lt;&gt;"")*(L$4:L$33&lt;&gt;"")*(K$4:K$33=L$4:L$33)*1,(N$4:N$33=AY30)*(I$4:I$33=BR29)*(K$4:K$33&lt;&gt;"")*(L$4:L$33&lt;&gt;"")*(K$4:K$33&lt;L$4:L$33)*3,(I$4:I$33=AY30)*(N$4:N$33=BR29)*(K$4:K$33&lt;&gt;"")*(L$4:L$33&lt;&gt;"")*(K$4:K$33=L$4:L$33)*1)</f>
        <v>0</v>
      </c>
      <c r="BS30" s="295">
        <f t="array" aca="1" ref="BS30" ca="1">SUM((I$4:I$33=AY30)*(N$4:N$33=BS29)*(K$4:K$33&lt;&gt;"")*(L$4:L$33&lt;&gt;"")*(K$4:K$33&gt;L$4:L$33)*3,(N$4:N$33=AY30)*(I$4:I$33=BS29)*(K$4:K$33&lt;&gt;"")*(L$4:L$33&lt;&gt;"")*(K$4:K$33=L$4:L$33)*1,(N$4:N$33=AY30)*(I$4:I$33=BS29)*(K$4:K$33&lt;&gt;"")*(L$4:L$33&lt;&gt;"")*(K$4:K$33&lt;L$4:L$33)*3,(I$4:I$33=AY30)*(N$4:N$33=BS29)*(K$4:K$33&lt;&gt;"")*(L$4:L$33&lt;&gt;"")*(K$4:K$33=L$4:L$33)*1)</f>
        <v>0</v>
      </c>
      <c r="BT30" s="268">
        <v>1</v>
      </c>
      <c r="BU30" s="268">
        <f ca="1">RANK(BW30,$BW$30:$BW$33)</f>
        <v>1</v>
      </c>
      <c r="BV30" s="268" t="str">
        <f ca="1">A29</f>
        <v>Brasil</v>
      </c>
      <c r="BW30" s="268">
        <f ca="1">IF(AK30=0,-($AW$10*VLOOKUP(AI30,Tabla3[[NombreEquipo]:[Rank]],3,FALSE)),AJ30*$AW$4+AQ30*$AW$5+AO30*$AW$6+BA30-($AW$10*VLOOKUP(AI30,Tabla3[[NombreEquipo]:[Rank]],3,FALSE)/100))</f>
        <v>-13</v>
      </c>
      <c r="BX30" s="268" t="str">
        <f ca="1">VLOOKUP(Q30,$AH$30:$AI$33,2,0)</f>
        <v>Brasil</v>
      </c>
      <c r="BY30" s="268">
        <f ca="1">VLOOKUP($BX30,$AI$30:$AR$33,10,FALSE)</f>
        <v>-13</v>
      </c>
      <c r="CC30" s="268">
        <f ca="1">RANK(CE30,$CE$30:$CE$33)</f>
        <v>1</v>
      </c>
      <c r="CD30" s="268" t="str">
        <f ca="1">A29</f>
        <v>Brasil</v>
      </c>
      <c r="CE30" s="268">
        <f ca="1">IF(AK30=0,-($AW$10*VLOOKUP(AI30,Tabla3[[NombreEquipo]:[Rank]],3,FALSE)),AJ30*$AW$4+AQ30*$AW$5+AO30*$AW$6+BA30-($AW$10*VLOOKUP(AI30,Tabla3[[NombreEquipo]:[Rank]],3,FALSE)/100))</f>
        <v>-13</v>
      </c>
      <c r="CF30" s="268">
        <f ca="1">IF(AK30=0,-($AW$10*VLOOKUP(AI30,Tabla3[[NombreEquipo]:[Rank]],3,FALSE)),AJ30*$AW$4+AQ30*$AW$5+AO30*$AW$6+BA30)</f>
        <v>-13</v>
      </c>
      <c r="CG30" s="268">
        <v>1</v>
      </c>
      <c r="CH30" s="268" t="str">
        <f ca="1">VLOOKUP(CG30,$CC$30:$CD$33,2,0)</f>
        <v>Brasil</v>
      </c>
      <c r="CI30" s="268">
        <f ca="1">VLOOKUP(CG30,$CC$30:$CF$33,4,0)</f>
        <v>-13</v>
      </c>
      <c r="CJ30" s="268">
        <f ca="1">COUNTIF($CI$30:$CI$33,CI30)</f>
        <v>1</v>
      </c>
      <c r="CK30" s="268" t="str">
        <f t="shared" ref="CK30" ca="1" si="26">CJ30&amp;CJ31&amp;CJ32&amp;CJ33</f>
        <v>1111</v>
      </c>
      <c r="CL30" s="268">
        <f ca="1">HLOOKUP(CK30,$CX$3:$DE$4,2,0)</f>
        <v>8</v>
      </c>
      <c r="CM30" s="268">
        <v>1</v>
      </c>
      <c r="CN30" s="268">
        <f ca="1">HLOOKUP(CL30,$CX$4:$DE$9,3,0)</f>
        <v>1</v>
      </c>
      <c r="CP30" s="268" cm="1">
        <f t="array" aca="1" ref="CP30" ca="1">OFFSET($DG$4,1,MATCH($CN30,$DH$4:$DQ$4,0),HLOOKUP($CN30,$DH$4:$DQ$9,6,0),1)</f>
        <v>1</v>
      </c>
      <c r="CQ30" s="268" cm="1">
        <f t="array" aca="1" ref="CQ30" ca="1">OFFSET($DG$4,1,MATCH($CN31,$DH$4:$DQ$4,0),HLOOKUP($CN31,$DH$4:$DQ$9,6,0),1)</f>
        <v>2</v>
      </c>
      <c r="CR30" s="268" cm="1">
        <f t="array" aca="1" ref="CR30" ca="1">OFFSET($DG$4,1,MATCH($CN32,$DH$4:$DQ$4,0),HLOOKUP($CN32,$DH$4:$DQ$9,6,0),1)</f>
        <v>3</v>
      </c>
      <c r="CS30" s="268" cm="1">
        <f t="array" aca="1" ref="CS30" ca="1">OFFSET($DG$4,1,MATCH($CN33,$DH$4:$DQ$4,0),HLOOKUP($CN33,$DH$4:$DQ$9,6,0),1)</f>
        <v>4</v>
      </c>
      <c r="EG30" s="295"/>
      <c r="EI30" s="295"/>
      <c r="EK30" s="295"/>
    </row>
    <row r="31" spans="1:141" x14ac:dyDescent="0.3">
      <c r="A31" s="234" t="str">
        <f t="array" aca="1" ref="A31" ca="1">IF(ROWS(A$29:A31)&lt;=$C$28,INDEX(INDIRECT(A$28),SMALL(IF(Nivell=$B$28,ROW(Nivell)-ROW(Equipos!$C$2)+1),ROWS(B$28:B30))),"")</f>
        <v>Paraguay</v>
      </c>
      <c r="B31" s="235"/>
      <c r="C31" s="164"/>
      <c r="D31" s="150"/>
      <c r="E31" s="648"/>
      <c r="F31" s="193">
        <f>Horarios!C31</f>
        <v>45472.083333333336</v>
      </c>
      <c r="G31" s="194">
        <f>Horarios!C31</f>
        <v>45472.083333333336</v>
      </c>
      <c r="H31" s="193" t="str">
        <f>$H$6</f>
        <v>J2</v>
      </c>
      <c r="I31" s="195" t="str">
        <f ca="1">A31</f>
        <v>Paraguay</v>
      </c>
      <c r="J31" s="196" t="str">
        <f ca="1">VLOOKUP(I31,Equipos!$K$2:$L$21,2,0)</f>
        <v>🇵🇾</v>
      </c>
      <c r="K31" s="565"/>
      <c r="L31" s="565"/>
      <c r="M31" s="197" t="str">
        <f ca="1">VLOOKUP(N31,Equipos!$K$2:$L$21,2,0)</f>
        <v>🇧🇷</v>
      </c>
      <c r="N31" s="204" t="str">
        <f ca="1">A29</f>
        <v>Brasil</v>
      </c>
      <c r="O31" s="87">
        <f t="shared" si="24"/>
        <v>0</v>
      </c>
      <c r="P31" s="84"/>
      <c r="Q31" s="214">
        <v>2</v>
      </c>
      <c r="R31" s="3" t="str">
        <f ca="1">VLOOKUP(Q31,$AG$30:$AI$33,3,0)</f>
        <v>Colombia</v>
      </c>
      <c r="S31" s="2">
        <f ca="1">VLOOKUP(R31,$AI$30:$AR$33,2,FALSE)</f>
        <v>0</v>
      </c>
      <c r="T31" s="2">
        <f ca="1">VLOOKUP($R31,$AI$30:$AR$33,3,FALSE)</f>
        <v>0</v>
      </c>
      <c r="U31" s="2">
        <f ca="1">VLOOKUP($R31,$AI$30:$AR$33,4,FALSE)</f>
        <v>0</v>
      </c>
      <c r="V31" s="2">
        <f ca="1">VLOOKUP($R31,$AI$30:$AR$33,5,FALSE)</f>
        <v>0</v>
      </c>
      <c r="W31" s="2">
        <f ca="1">VLOOKUP($R31,$AI$30:$AR$33,6,FALSE)</f>
        <v>0</v>
      </c>
      <c r="X31" s="2">
        <f ca="1">VLOOKUP($R31,$AI$30:$AR$33,7,FALSE)</f>
        <v>0</v>
      </c>
      <c r="Y31" s="2">
        <f ca="1">VLOOKUP($R31,$AI$30:$AR$33,8,FALSE)</f>
        <v>0</v>
      </c>
      <c r="Z31" s="215">
        <f ca="1">VLOOKUP($R31,$AI$30:$AR$33,9,FALSE)</f>
        <v>0</v>
      </c>
      <c r="AA31" s="75">
        <f ca="1">IF(SUM($AK$30:$AK$33)=12,MIN(ABS(BY30-BY31),ABS(BY31-BY32)),100)</f>
        <v>100</v>
      </c>
      <c r="AB31" s="94" t="str">
        <f ca="1">IF(AND(AA31&gt;=0,AA31&lt;90),VLOOKUP(Q31,$BU$30:$BV$33,2,0),"")</f>
        <v/>
      </c>
      <c r="AC31" s="74"/>
      <c r="AD31" s="75"/>
      <c r="AE31" s="72"/>
      <c r="AF31" s="293"/>
      <c r="AG31" s="268">
        <f ca="1">RANK(AU31,$AU$30:$AU$33)</f>
        <v>2</v>
      </c>
      <c r="AH31" s="268">
        <f ca="1">RANK(AR31,$AR$30:$AR$33)</f>
        <v>2</v>
      </c>
      <c r="AI31" s="268" t="str">
        <f ca="1">A30</f>
        <v>Colombia</v>
      </c>
      <c r="AJ31" s="268">
        <f ca="1">AL31*3+AM31*1+AN31*0</f>
        <v>0</v>
      </c>
      <c r="AK31" s="268">
        <f ca="1">COUNTIFS($I$4:$I$33,AI31,$K$4:$K$33,"&lt;&gt;",$L$4:$L$33,"&lt;&gt;")+COUNTIFS($N$4:$N$33,AI31,$L$4:$L$33,"&lt;&gt;",$K$4:$K$33,"&lt;&gt;")</f>
        <v>0</v>
      </c>
      <c r="AL31" s="268">
        <f t="array" aca="1" ref="AL31" ca="1">SUM(($I$4:$I$33=AI31)*($K$4:$K$33&lt;&gt;"")*($L$4:$L$33&lt;&gt;"")*($K$4:$K$33&gt;$L$4:$L$33),($N$4:$N$33=AI31)*($K$4:$K$33&lt;&gt;"")*($L$4:$L$33&lt;&gt;"")*($K$4:$K$33&lt;$L$4:$L$33))</f>
        <v>0</v>
      </c>
      <c r="AM31" s="268">
        <f t="array" aca="1" ref="AM31" ca="1">SUM(($I$4:$I$33=AI31)*($K$4:$K$33&lt;&gt;"")*($L$4:$L$33&lt;&gt;"")*($K$4:$K$33=$L$4:$L$33),($N$4:$N$33=AI31)*($K$4:$K$33&lt;&gt;"")*($L$4:$L$33&lt;&gt;"")*($K$4:$K$33=$L$4:$L$33))</f>
        <v>0</v>
      </c>
      <c r="AN31" s="268">
        <f t="array" aca="1" ref="AN31" ca="1">SUM(($I$4:$I$33=AI31)*($L$4:$L$33&lt;&gt;"")*($K$4:$K$33&lt;&gt;"")*($K$4:$K$33&lt;$L$4:$L$33),($K$4:$K$33&lt;&gt;"")*($N$4:$N$33=AI31)*($L$4:$L$33&lt;&gt;"")*($K$4:$K$33&gt;$L$4:$L$33))</f>
        <v>0</v>
      </c>
      <c r="AO31" s="268">
        <f t="array" aca="1" ref="AO31" ca="1">SUMIFS($K$4:$K$33,$I$4:$I$33,AI31,$K$4:$K$33,"&lt;&gt;",$L$4:$L$33,"&lt;&gt;")+SUMIFS($L$4:$L$33,$N$4:$N$33,AI31,$K$4:$K$33,"&lt;&gt;",$L$4:$L$33,"&lt;&gt;")</f>
        <v>0</v>
      </c>
      <c r="AP31" s="268">
        <f t="array" aca="1" ref="AP31" ca="1">SUMIFS($K$4:$K$33,$N$4:$N$33,AI31,$K$4:$K$33,"&lt;&gt;",$L$4:$L$33,"&lt;&gt;")+SUMIFS($L$4:$L$33,$I$4:$I$33,AI31,$K$4:$K$33,"&lt;&gt;",$L$4:$L$33,"&lt;&gt;")</f>
        <v>0</v>
      </c>
      <c r="AQ31" s="268">
        <f ca="1">AO31-AP31</f>
        <v>0</v>
      </c>
      <c r="AR31" s="268">
        <f ca="1">IF(AK31=0,-($AW$10*VLOOKUP(AI31,Tabla3[[NombreEquipo]:[Rank]],3,FALSE)),AJ31*$AW$4+AQ31*$AW$5+AO31*$AW$6+BA31-($AW$10*VLOOKUP(AI31,Tabla3[[NombreEquipo]:[Rank]],3,FALSE)/100))</f>
        <v>-14</v>
      </c>
      <c r="AS31" s="268">
        <f ca="1">AH31</f>
        <v>2</v>
      </c>
      <c r="AU31" s="268">
        <f ca="1">IFERROR(AR31-VLOOKUP(AI31,$AB$30:$AC$33,2,0),AR31)</f>
        <v>-14</v>
      </c>
      <c r="AY31" s="297" t="str">
        <f ca="1">AI31</f>
        <v>Colombia</v>
      </c>
      <c r="AZ31" s="268">
        <f ca="1">COUNTIF(AJ30:AJ33,AJ31)</f>
        <v>4</v>
      </c>
      <c r="BA31" s="268">
        <f ca="1">(BB31*$AW$9)+(BH31*$AW$8)+(BN31*$AW$7)</f>
        <v>111000</v>
      </c>
      <c r="BB31" s="295">
        <f ca="1">RANK(BC31,BC30:BC33,1)</f>
        <v>1</v>
      </c>
      <c r="BC31" s="295">
        <f ca="1">SUM(IF(AND(AJ31=AJ32,AQ31=AQ32,AO31=AO32),BF31,0),IF(AND(AJ31=AJ33,AQ31=AQ33,AO31=AO33),BG31,0),IF(AND(AJ31=AJ30,AQ31=AQ30,AO31=AO30),BD31,0))</f>
        <v>0</v>
      </c>
      <c r="BD31" s="295">
        <f t="array" aca="1" ref="BD31" ca="1">SUMIFS($K$28:$K$33,$I$28:$I$33,$AY31,$K$28:$K$33,"&lt;&gt;",$L$28:$L$33,"&lt;&gt;",$N$28:$N$33,BD29)+SUMIFS($L$28:$L$33,$I$28:$I$33,BD29,$K$28:$K$33,"&lt;&gt;",$L$28:$L$33,"&lt;&gt;",$N$28:$N$33,$AY31)</f>
        <v>0</v>
      </c>
      <c r="BE31" s="295">
        <v>0</v>
      </c>
      <c r="BF31" s="295">
        <f t="array" aca="1" ref="BF31" ca="1">SUMIFS($K$28:$K$33,$I$28:$I$33,$AY31,$K$28:$K$33,"&lt;&gt;",$L$28:$L$33,"&lt;&gt;",$N$28:$N$33,BF29)+SUMIFS($L$28:$L$33,$I$28:$I$33,BF29,$K$28:$K$33,"&lt;&gt;",$L$28:$L$33,"&lt;&gt;",$N$28:$N$33,$AY31)</f>
        <v>0</v>
      </c>
      <c r="BG31" s="295">
        <f t="array" aca="1" ref="BG31" ca="1">SUMIFS($K$28:$K$33,$I$28:$I$33,$AY31,$K$28:$K$33,"&lt;&gt;",$L$28:$L$33,"&lt;&gt;",$N$28:$N$33,BG29)+SUMIFS($L$28:$L$33,$I$28:$I$33,BG29,$K$28:$K$33,"&lt;&gt;",$L$28:$L$33,"&lt;&gt;",$N$28:$N$33,$AY31)</f>
        <v>0</v>
      </c>
      <c r="BH31" s="295">
        <f ca="1">RANK(BI31,BI30:BI33,1)</f>
        <v>1</v>
      </c>
      <c r="BI31" s="295">
        <f ca="1">SUM(IF(AND(AJ31=AJ32,AQ31=AQ32,AO31=AO32),BL31,0),IF(AND(AJ31=AJ33,AQ31=AQ33,AO31=AO33),BM31,0),IF(AND(AJ31=AJ30,AQ31=AQ30,AO31=AO30),BJ31,0))</f>
        <v>0</v>
      </c>
      <c r="BJ31" s="295">
        <f ca="1">BD31-BE30</f>
        <v>0</v>
      </c>
      <c r="BK31" s="295">
        <v>0</v>
      </c>
      <c r="BL31" s="295">
        <f ca="1">BF31-BE32</f>
        <v>0</v>
      </c>
      <c r="BM31" s="295">
        <f ca="1">BG31-BE33</f>
        <v>0</v>
      </c>
      <c r="BN31" s="295">
        <f ca="1">RANK(BO31,BO30:BO33,1)</f>
        <v>1</v>
      </c>
      <c r="BO31" s="295">
        <f ca="1">SUM(IF(AND(AJ31=AJ32,AQ31=AQ32,AO31=AO32),BR31,0),IF(AND(AJ31=AJ33,AQ31=AQ33,AO31=AO33),BS31,0),IF(AND(AJ31=AJ30,AQ31=AQ30,AO31=AO30),BP31,0))</f>
        <v>0</v>
      </c>
      <c r="BP31" s="295">
        <f t="array" aca="1" ref="BP31" ca="1">SUM((I$4:I$33=AY31)*(N$4:N$33=BP29)*(K$4:K$33&lt;&gt;"")*(L$4:L$33&lt;&gt;"")*(K$4:K$33&gt;L$4:L$33)*3,(N$4:N$33=AY31)*(I$4:I$33=BP29)*(K$4:K$33&lt;&gt;"")*(L$4:L$33&lt;&gt;"")*(K$4:K$33=L$4:L$33)*1,(N$4:N$33=AY31)*(I$4:I$33=BP29)*(K$4:K$33&lt;&gt;"")*(L$4:L$33&lt;&gt;"")*(K$4:K$33&lt;L$4:L$33)*3,(I$4:I$33=AY31)*(N$4:N$33=BP29)*(K$4:K$33&lt;&gt;"")*(L$4:L$33&lt;&gt;"")*(K$4:K$33=L$4:L$33)*1)</f>
        <v>0</v>
      </c>
      <c r="BQ31" s="295">
        <v>0</v>
      </c>
      <c r="BR31" s="295">
        <f t="array" aca="1" ref="BR31" ca="1">SUM((I$4:I$33=AY31)*(N$4:N$33=BR29)*(K$4:K$33&lt;&gt;"")*(L$4:L$33&lt;&gt;"")*(K$4:K$33&gt;L$4:L$33)*3,(N$4:N$33=AY31)*(I$4:I$33=BR29)*(K$4:K$33&lt;&gt;"")*(L$4:L$33&lt;&gt;"")*(K$4:K$33=L$4:L$33)*1,(N$4:N$33=AY31)*(I$4:I$33=BR29)*(K$4:K$33&lt;&gt;"")*(L$4:L$33&lt;&gt;"")*(K$4:K$33&lt;L$4:L$33)*3,(I$4:I$33=AY31)*(N$4:N$33=BR29)*(K$4:K$33&lt;&gt;"")*(L$4:L$33&lt;&gt;"")*(K$4:K$33=L$4:L$33)*1)</f>
        <v>0</v>
      </c>
      <c r="BS31" s="295">
        <f t="array" aca="1" ref="BS31" ca="1">SUM((I$4:I$33=AY31)*(N$4:N$33=BS29)*(K$4:K$33&lt;&gt;"")*(L$4:L$33&lt;&gt;"")*(K$4:K$33&gt;L$4:L$33)*3,(N$4:N$33=AY31)*(I$4:I$33=BS29)*(K$4:K$33&lt;&gt;"")*(L$4:L$33&lt;&gt;"")*(K$4:K$33=L$4:L$33)*1,(N$4:N$33=AY31)*(I$4:I$33=BS29)*(K$4:K$33&lt;&gt;"")*(L$4:L$33&lt;&gt;"")*(K$4:K$33&lt;L$4:L$33)*3,(I$4:I$33=AY31)*(N$4:N$33=BS29)*(K$4:K$33&lt;&gt;"")*(L$4:L$33&lt;&gt;"")*(K$4:K$33=L$4:L$33)*1)</f>
        <v>0</v>
      </c>
      <c r="BT31" s="268">
        <v>2</v>
      </c>
      <c r="BU31" s="268">
        <f ca="1">RANK(BW31,$BW$30:$BW$33)</f>
        <v>2</v>
      </c>
      <c r="BV31" s="268" t="str">
        <f ca="1">A30</f>
        <v>Colombia</v>
      </c>
      <c r="BW31" s="268">
        <f ca="1">IF(AK31=0,-($AW$10*VLOOKUP(AI31,Tabla3[[NombreEquipo]:[Rank]],3,FALSE)),AJ31*$AW$4+AQ31*$AW$5+AO31*$AW$6+BA31-($AW$10*VLOOKUP(AI31,Tabla3[[NombreEquipo]:[Rank]],3,FALSE)/100))</f>
        <v>-14</v>
      </c>
      <c r="BX31" s="268" t="str">
        <f ca="1">VLOOKUP(Q31,$AH$30:$AI$33,2,0)</f>
        <v>Colombia</v>
      </c>
      <c r="BY31" s="268">
        <f ca="1">VLOOKUP($BX31,$AI$30:$AR$33,10,FALSE)</f>
        <v>-14</v>
      </c>
      <c r="CC31" s="268">
        <f t="shared" ref="CC31:CC32" ca="1" si="27">RANK(CE31,$CE$30:$CE$33)</f>
        <v>2</v>
      </c>
      <c r="CD31" s="268" t="str">
        <f ca="1">A30</f>
        <v>Colombia</v>
      </c>
      <c r="CE31" s="268">
        <f ca="1">IF(AK31=0,-($AW$10*VLOOKUP(AI31,Tabla3[[NombreEquipo]:[Rank]],3,FALSE)),AJ31*$AW$4+AQ31*$AW$5+AO31*$AW$6+BA31-($AW$10*VLOOKUP(AI31,Tabla3[[NombreEquipo]:[Rank]],3,FALSE)/100))</f>
        <v>-14</v>
      </c>
      <c r="CF31" s="268">
        <f ca="1">IF(AK31=0,-($AW$10*VLOOKUP(AI31,Tabla3[[NombreEquipo]:[Rank]],3,FALSE)),AJ31*$AW$4+AQ31*$AW$5+AO31*$AW$6+BA31)</f>
        <v>-14</v>
      </c>
      <c r="CG31" s="268">
        <v>2</v>
      </c>
      <c r="CH31" s="268" t="str">
        <f t="shared" ref="CH31:CH33" ca="1" si="28">VLOOKUP(CG31,$CC$30:$CD$33,2,0)</f>
        <v>Colombia</v>
      </c>
      <c r="CI31" s="268">
        <f t="shared" ref="CI31:CI33" ca="1" si="29">VLOOKUP(CG31,$CC$30:$CF$33,4,0)</f>
        <v>-14</v>
      </c>
      <c r="CJ31" s="268">
        <f t="shared" ref="CJ31:CJ33" ca="1" si="30">COUNTIF($CI$30:$CI$33,CI31)</f>
        <v>1</v>
      </c>
      <c r="CM31" s="268">
        <v>2</v>
      </c>
      <c r="CN31" s="268">
        <f ca="1">HLOOKUP(CL30,$CX$4:$DE$9,4,0)</f>
        <v>2</v>
      </c>
      <c r="EG31" s="295"/>
      <c r="EI31" s="295"/>
      <c r="EK31" s="295"/>
    </row>
    <row r="32" spans="1:141" x14ac:dyDescent="0.3">
      <c r="A32" s="234" t="str">
        <f t="array" aca="1" ref="A32" ca="1">IF(ROWS(A$29:A32)&lt;=$C$28,INDEX(INDIRECT(A$28),SMALL(IF(Nivell=$B$28,ROW(Nivell)-ROW(Equipos!$C$2)+1),ROWS(B$28:B31))),"")</f>
        <v>Costa Rica</v>
      </c>
      <c r="B32" s="235"/>
      <c r="C32" s="164"/>
      <c r="D32" s="150"/>
      <c r="E32" s="648"/>
      <c r="F32" s="193">
        <f>Horarios!C32</f>
        <v>45476.083333333336</v>
      </c>
      <c r="G32" s="194">
        <f>Horarios!C32</f>
        <v>45476.083333333336</v>
      </c>
      <c r="H32" s="193" t="str">
        <f>$H$8</f>
        <v>J3</v>
      </c>
      <c r="I32" s="195" t="str">
        <f ca="1">A29</f>
        <v>Brasil</v>
      </c>
      <c r="J32" s="196" t="str">
        <f ca="1">VLOOKUP(I32,Equipos!$K$2:$L$21,2,0)</f>
        <v>🇧🇷</v>
      </c>
      <c r="K32" s="565"/>
      <c r="L32" s="565"/>
      <c r="M32" s="197" t="str">
        <f ca="1">VLOOKUP(N32,Equipos!$K$2:$L$21,2,0)</f>
        <v>🇨🇴</v>
      </c>
      <c r="N32" s="204" t="str">
        <f ca="1">A30</f>
        <v>Colombia</v>
      </c>
      <c r="O32" s="87">
        <f t="shared" si="24"/>
        <v>0</v>
      </c>
      <c r="P32" s="84"/>
      <c r="Q32" s="214">
        <v>3</v>
      </c>
      <c r="R32" s="3" t="str">
        <f ca="1">VLOOKUP(Q32,$AG$30:$AI$33,3,0)</f>
        <v>Paraguay</v>
      </c>
      <c r="S32" s="2">
        <f ca="1">VLOOKUP(R32,$AI$30:$AR$33,2,FALSE)</f>
        <v>0</v>
      </c>
      <c r="T32" s="2">
        <f ca="1">VLOOKUP($R32,$AI$30:$AR$33,3,FALSE)</f>
        <v>0</v>
      </c>
      <c r="U32" s="2">
        <f ca="1">VLOOKUP($R32,$AI$30:$AR$33,4,FALSE)</f>
        <v>0</v>
      </c>
      <c r="V32" s="2">
        <f ca="1">VLOOKUP($R32,$AI$30:$AR$33,5,FALSE)</f>
        <v>0</v>
      </c>
      <c r="W32" s="2">
        <f ca="1">VLOOKUP($R32,$AI$30:$AR$33,6,FALSE)</f>
        <v>0</v>
      </c>
      <c r="X32" s="2">
        <f ca="1">VLOOKUP($R32,$AI$30:$AR$33,7,FALSE)</f>
        <v>0</v>
      </c>
      <c r="Y32" s="2">
        <f ca="1">VLOOKUP($R32,$AI$30:$AR$33,8,FALSE)</f>
        <v>0</v>
      </c>
      <c r="Z32" s="215">
        <f ca="1">VLOOKUP($R32,$AI$30:$AR$33,9,FALSE)</f>
        <v>0</v>
      </c>
      <c r="AA32" s="75">
        <f ca="1">IF(SUM($AK$30:$AK$33)=12,MIN(ABS(BY31-BY32),ABS(BY32-BY33)),100)</f>
        <v>100</v>
      </c>
      <c r="AB32" s="94" t="str">
        <f ca="1">IF(AND(AA32&gt;=0,AA32&lt;90),VLOOKUP(Q32,$BU$30:$BV$33,2,0),"")</f>
        <v/>
      </c>
      <c r="AC32" s="74"/>
      <c r="AD32" s="75"/>
      <c r="AE32" s="72"/>
      <c r="AF32" s="293"/>
      <c r="AG32" s="268">
        <f ca="1">RANK(AU32,$AU$30:$AU$33)</f>
        <v>3</v>
      </c>
      <c r="AH32" s="268">
        <f ca="1">RANK(AR32,$AR$30:$AR$33)</f>
        <v>3</v>
      </c>
      <c r="AI32" s="268" t="str">
        <f ca="1">A31</f>
        <v>Paraguay</v>
      </c>
      <c r="AJ32" s="268">
        <f ca="1">AL32*3+AM32*1+AN32*0</f>
        <v>0</v>
      </c>
      <c r="AK32" s="268">
        <f ca="1">COUNTIFS($I$4:$I$33,AI32,$K$4:$K$33,"&lt;&gt;",$L$4:$L$33,"&lt;&gt;")+COUNTIFS($N$4:$N$33,AI32,$L$4:$L$33,"&lt;&gt;",$K$4:$K$33,"&lt;&gt;")</f>
        <v>0</v>
      </c>
      <c r="AL32" s="268">
        <f t="array" aca="1" ref="AL32" ca="1">SUM(($I$4:$I$33=AI32)*($K$4:$K$33&lt;&gt;"")*($L$4:$L$33&lt;&gt;"")*($K$4:$K$33&gt;$L$4:$L$33),($N$4:$N$33=AI32)*($K$4:$K$33&lt;&gt;"")*($L$4:$L$33&lt;&gt;"")*($K$4:$K$33&lt;$L$4:$L$33))</f>
        <v>0</v>
      </c>
      <c r="AM32" s="268">
        <f t="array" aca="1" ref="AM32" ca="1">SUM(($I$4:$I$33=AI32)*($K$4:$K$33&lt;&gt;"")*($L$4:$L$33&lt;&gt;"")*($K$4:$K$33=$L$4:$L$33),($N$4:$N$33=AI32)*($K$4:$K$33&lt;&gt;"")*($L$4:$L$33&lt;&gt;"")*($K$4:$K$33=$L$4:$L$33))</f>
        <v>0</v>
      </c>
      <c r="AN32" s="268">
        <f t="array" aca="1" ref="AN32" ca="1">SUM(($I$4:$I$33=AI32)*($L$4:$L$33&lt;&gt;"")*($K$4:$K$33&lt;&gt;"")*($K$4:$K$33&lt;$L$4:$L$33),($K$4:$K$33&lt;&gt;"")*($N$4:$N$33=AI32)*($L$4:$L$33&lt;&gt;"")*($K$4:$K$33&gt;$L$4:$L$33))</f>
        <v>0</v>
      </c>
      <c r="AO32" s="268">
        <f t="array" aca="1" ref="AO32" ca="1">SUMIFS($K$4:$K$33,$I$4:$I$33,AI32,$K$4:$K$33,"&lt;&gt;",$L$4:$L$33,"&lt;&gt;")+SUMIFS($L$4:$L$33,$N$4:$N$33,AI32,$K$4:$K$33,"&lt;&gt;",$L$4:$L$33,"&lt;&gt;")</f>
        <v>0</v>
      </c>
      <c r="AP32" s="268">
        <f t="array" aca="1" ref="AP32" ca="1">SUMIFS($K$4:$K$33,$N$4:$N$33,AI32,$K$4:$K$33,"&lt;&gt;",$L$4:$L$33,"&lt;&gt;")+SUMIFS($L$4:$L$33,$I$4:$I$33,AI32,$K$4:$K$33,"&lt;&gt;",$L$4:$L$33,"&lt;&gt;")</f>
        <v>0</v>
      </c>
      <c r="AQ32" s="268">
        <f ca="1">AO32-AP32</f>
        <v>0</v>
      </c>
      <c r="AR32" s="268">
        <f ca="1">IF(AK32=0,-($AW$10*VLOOKUP(AI32,Tabla3[[NombreEquipo]:[Rank]],3,FALSE)),AJ32*$AW$4+AQ32*$AW$5+AO32*$AW$6+BA32-($AW$10*VLOOKUP(AI32,Tabla3[[NombreEquipo]:[Rank]],3,FALSE)/100))</f>
        <v>-15</v>
      </c>
      <c r="AS32" s="268">
        <f ca="1">AH32</f>
        <v>3</v>
      </c>
      <c r="AU32" s="268">
        <f ca="1">IFERROR(AR32-VLOOKUP(AI32,$AB$30:$AC$33,2,0),AR32)</f>
        <v>-15</v>
      </c>
      <c r="AY32" s="297" t="str">
        <f ca="1">AI32</f>
        <v>Paraguay</v>
      </c>
      <c r="AZ32" s="268">
        <f ca="1">COUNTIF(AJ30:AJ33,AJ32)</f>
        <v>4</v>
      </c>
      <c r="BA32" s="268">
        <f ca="1">(BB32*$AW$9)+(BH32*$AW$8)+(BN32*$AW$7)</f>
        <v>111000</v>
      </c>
      <c r="BB32" s="295">
        <f ca="1">RANK(BC32,BC30:BC33,1)</f>
        <v>1</v>
      </c>
      <c r="BC32" s="295">
        <f ca="1">SUM(IF(AND(AJ32=AJ33,AQ32=AQ33,AO32=AO33),BG32,0),IF(AND(AJ32=AJ30,AQ32=AQ30,AO32=AO30),BD32,0),IF(AND(AJ32=AJ31,AQ32=AQ31,AO32=AO31),BE32,0))</f>
        <v>0</v>
      </c>
      <c r="BD32" s="295">
        <f t="array" aca="1" ref="BD32" ca="1">SUMIFS($K$28:$K$33,$I$28:$I$33,$AY32,$K$28:$K$33,"&lt;&gt;",$L$28:$L$33,"&lt;&gt;",$N$28:$N$33,BD29)+SUMIFS($L$28:$L$33,$I$28:$I$33,BD29,$K$28:$K$33,"&lt;&gt;",$L$28:$L$33,"&lt;&gt;",$N$28:$N$33,$AY32)</f>
        <v>0</v>
      </c>
      <c r="BE32" s="295">
        <f t="array" aca="1" ref="BE32" ca="1">SUMIFS($K$28:$K$33,$I$28:$I$33,$AY32,$K$28:$K$33,"&lt;&gt;",$L$28:$L$33,"&lt;&gt;",$N$28:$N$33,BE29)+SUMIFS($L$28:$L$33,$I$28:$I$33,BE29,$K$28:$K$33,"&lt;&gt;",$L$28:$L$33,"&lt;&gt;",$N$28:$N$33,$AY32)</f>
        <v>0</v>
      </c>
      <c r="BF32" s="295">
        <v>0</v>
      </c>
      <c r="BG32" s="295">
        <f t="array" aca="1" ref="BG32" ca="1">SUMIFS($K$28:$K$33,$I$28:$I$33,$AY32,$K$28:$K$33,"&lt;&gt;",$L$28:$L$33,"&lt;&gt;",$N$28:$N$33,BG29)+SUMIFS($L$28:$L$33,$I$28:$I$33,BG29,$K$28:$K$33,"&lt;&gt;",$L$28:$L$33,"&lt;&gt;",$N$28:$N$33,$AY32)</f>
        <v>0</v>
      </c>
      <c r="BH32" s="295">
        <f ca="1">RANK(BI32,BI30:BI33,1)</f>
        <v>1</v>
      </c>
      <c r="BI32" s="295">
        <f ca="1">SUM(IF(AND(AJ32=AJ33,AQ32=AQ33,AO32=AO33),BM32,0),IF(AND(AJ32=AJ30,AQ32=AQ30,AO32=AO30),BJ32,0),IF(AND(AJ32=AJ31,AQ32=AQ31,AO32=AO31),BK32,0))</f>
        <v>0</v>
      </c>
      <c r="BJ32" s="295">
        <f ca="1">BD32-BF30</f>
        <v>0</v>
      </c>
      <c r="BK32" s="295">
        <f ca="1">BE32-BF31</f>
        <v>0</v>
      </c>
      <c r="BL32" s="295">
        <v>0</v>
      </c>
      <c r="BM32" s="295">
        <f ca="1">BG32-BF33</f>
        <v>0</v>
      </c>
      <c r="BN32" s="295">
        <f ca="1">RANK(BO32,BO30:BO33,1)</f>
        <v>1</v>
      </c>
      <c r="BO32" s="295">
        <f ca="1">SUM(IF(AND(AJ32=AJ33,AQ32=AQ33,AO32=AO33),BS32,0),IF(AND(AJ32=AJ30,AQ32=AQ30,AO32=AO30),BP32,0),IF(AND(AJ32=AJ31,AQ32=AQ31,AO32=AO31),BQ32,0))</f>
        <v>0</v>
      </c>
      <c r="BP32" s="295">
        <f t="array" aca="1" ref="BP32" ca="1">SUM((I$4:I$33=AY32)*(N$4:N$33=BP29)*(K$4:K$33&lt;&gt;"")*(L$4:L$33&lt;&gt;"")*(K$4:K$33&gt;L$4:L$33)*3,(N$4:N$33=AY32)*(I$4:I$33=BP29)*(K$4:K$33&lt;&gt;"")*(L$4:L$33&lt;&gt;"")*(K$4:K$33=L$4:L$33)*1,(N$4:N$33=AY32)*(I$4:I$33=BP29)*(K$4:K$33&lt;&gt;"")*(L$4:L$33&lt;&gt;"")*(K$4:K$33&lt;L$4:L$33)*3,(I$4:I$33=AY32)*(N$4:N$33=BP29)*(K$4:K$33&lt;&gt;"")*(L$4:L$33&lt;&gt;"")*(K$4:K$33=L$4:L$33)*1)</f>
        <v>0</v>
      </c>
      <c r="BQ32" s="295">
        <f t="array" aca="1" ref="BQ32" ca="1">SUM((I$4:I$33=AY32)*(N$4:N$33=BQ29)*(K$4:K$33&lt;&gt;"")*(L$4:L$33&lt;&gt;"")*(K$4:K$33&gt;L$4:L$33)*3,(N$4:N$33=AY32)*(I$4:I$33=BQ29)*(K$4:K$33&lt;&gt;"")*(L$4:L$33&lt;&gt;"")*(K$4:K$33=L$4:L$33)*1,(N$4:N$33=AY32)*(I$4:I$33=BQ29)*(K$4:K$33&lt;&gt;"")*(L$4:L$33&lt;&gt;"")*(K$4:K$33&lt;L$4:L$33)*3,(I$4:I$33=AY32)*(N$4:N$33=BQ29)*(K$4:K$33&lt;&gt;"")*(L$4:L$33&lt;&gt;"")*(K$4:K$33=L$4:L$33)*1)</f>
        <v>0</v>
      </c>
      <c r="BR32" s="295">
        <v>0</v>
      </c>
      <c r="BS32" s="295">
        <f t="array" aca="1" ref="BS32" ca="1">SUM((I$4:I$33=AY32)*(N$4:N$33=BS29)*(K$4:K$33&lt;&gt;"")*(L$4:L$33&lt;&gt;"")*(K$4:K$33&gt;L$4:L$33)*3,(N$4:N$33=AY32)*(I$4:I$33=BS29)*(K$4:K$33&lt;&gt;"")*(L$4:L$33&lt;&gt;"")*(K$4:K$33=L$4:L$33)*1,(N$4:N$33=AY32)*(I$4:I$33=BS29)*(K$4:K$33&lt;&gt;"")*(L$4:L$33&lt;&gt;"")*(K$4:K$33&lt;L$4:L$33)*3,(I$4:I$33=AY32)*(N$4:N$33=BS29)*(K$4:K$33&lt;&gt;"")*(L$4:L$33&lt;&gt;"")*(K$4:K$33=L$4:L$33)*1)</f>
        <v>0</v>
      </c>
      <c r="BT32" s="268">
        <v>3</v>
      </c>
      <c r="BU32" s="268">
        <f ca="1">RANK(BW32,$BW$30:$BW$33)</f>
        <v>3</v>
      </c>
      <c r="BV32" s="268" t="str">
        <f ca="1">A31</f>
        <v>Paraguay</v>
      </c>
      <c r="BW32" s="268">
        <f ca="1">IF(AK32=0,-($AW$10*VLOOKUP(AI32,Tabla3[[NombreEquipo]:[Rank]],3,FALSE)),AJ32*$AW$4+AQ32*$AW$5+AO32*$AW$6+BA32-($AW$10*VLOOKUP(AI32,Tabla3[[NombreEquipo]:[Rank]],3,FALSE)/100))</f>
        <v>-15</v>
      </c>
      <c r="BX32" s="268" t="str">
        <f ca="1">VLOOKUP(Q32,$AH$30:$AI$33,2,0)</f>
        <v>Paraguay</v>
      </c>
      <c r="BY32" s="268">
        <f ca="1">VLOOKUP($BX32,$AI$30:$AR$33,10,FALSE)</f>
        <v>-15</v>
      </c>
      <c r="CC32" s="268">
        <f t="shared" ca="1" si="27"/>
        <v>3</v>
      </c>
      <c r="CD32" s="268" t="str">
        <f ca="1">A31</f>
        <v>Paraguay</v>
      </c>
      <c r="CE32" s="268">
        <f ca="1">IF(AK32=0,-($AW$10*VLOOKUP(AI32,Tabla3[[NombreEquipo]:[Rank]],3,FALSE)),AJ32*$AW$4+AQ32*$AW$5+AO32*$AW$6+BA32-($AW$10*VLOOKUP(AI32,Tabla3[[NombreEquipo]:[Rank]],3,FALSE)/100))</f>
        <v>-15</v>
      </c>
      <c r="CF32" s="268">
        <f ca="1">IF(AK32=0,-($AW$10*VLOOKUP(AI32,Tabla3[[NombreEquipo]:[Rank]],3,FALSE)),AJ32*$AW$4+AQ32*$AW$5+AO32*$AW$6+BA32)</f>
        <v>-15</v>
      </c>
      <c r="CG32" s="268">
        <v>3</v>
      </c>
      <c r="CH32" s="268" t="str">
        <f t="shared" ca="1" si="28"/>
        <v>Paraguay</v>
      </c>
      <c r="CI32" s="268">
        <f t="shared" ca="1" si="29"/>
        <v>-15</v>
      </c>
      <c r="CJ32" s="268">
        <f t="shared" ca="1" si="30"/>
        <v>1</v>
      </c>
      <c r="CM32" s="268">
        <v>3</v>
      </c>
      <c r="CN32" s="268">
        <f ca="1">HLOOKUP(CL30,$CX$4:$DE$9,5,0)</f>
        <v>3</v>
      </c>
      <c r="EG32" s="295"/>
      <c r="EI32" s="295"/>
      <c r="EK32" s="295"/>
    </row>
    <row r="33" spans="1:468 1273:1783" ht="15" thickBot="1" x14ac:dyDescent="0.35">
      <c r="A33" s="162"/>
      <c r="B33" s="162"/>
      <c r="C33" s="162"/>
      <c r="D33" s="150"/>
      <c r="E33" s="649"/>
      <c r="F33" s="205">
        <f>Horarios!C33</f>
        <v>45476.083333333336</v>
      </c>
      <c r="G33" s="206">
        <f>Horarios!C33</f>
        <v>45476.083333333336</v>
      </c>
      <c r="H33" s="205" t="str">
        <f>$H$8</f>
        <v>J3</v>
      </c>
      <c r="I33" s="207" t="str">
        <f ca="1">A32</f>
        <v>Costa Rica</v>
      </c>
      <c r="J33" s="208" t="str">
        <f ca="1">VLOOKUP(I33,Equipos!$K$2:$L$21,2,0)</f>
        <v>🇨🇷</v>
      </c>
      <c r="K33" s="566"/>
      <c r="L33" s="566"/>
      <c r="M33" s="209" t="str">
        <f ca="1">VLOOKUP(N33,Equipos!$K$2:$L$21,2,0)</f>
        <v>🇵🇾</v>
      </c>
      <c r="N33" s="210" t="str">
        <f ca="1">A31</f>
        <v>Paraguay</v>
      </c>
      <c r="O33" s="87">
        <f t="shared" si="24"/>
        <v>0</v>
      </c>
      <c r="P33" s="84"/>
      <c r="Q33" s="216">
        <v>4</v>
      </c>
      <c r="R33" s="217" t="str">
        <f ca="1">VLOOKUP(Q33,$AG$30:$AI$33,3,0)</f>
        <v>Costa Rica</v>
      </c>
      <c r="S33" s="218">
        <f ca="1">VLOOKUP(R33,$AI$30:$AR$33,2,FALSE)</f>
        <v>0</v>
      </c>
      <c r="T33" s="218">
        <f ca="1">VLOOKUP($R33,$AI$30:$AR$33,3,FALSE)</f>
        <v>0</v>
      </c>
      <c r="U33" s="218">
        <f ca="1">VLOOKUP($R33,$AI$30:$AR$33,4,FALSE)</f>
        <v>0</v>
      </c>
      <c r="V33" s="218">
        <f ca="1">VLOOKUP($R33,$AI$30:$AR$33,5,FALSE)</f>
        <v>0</v>
      </c>
      <c r="W33" s="218">
        <f ca="1">VLOOKUP($R33,$AI$30:$AR$33,6,FALSE)</f>
        <v>0</v>
      </c>
      <c r="X33" s="218">
        <f ca="1">VLOOKUP($R33,$AI$30:$AR$33,7,FALSE)</f>
        <v>0</v>
      </c>
      <c r="Y33" s="218">
        <f ca="1">VLOOKUP($R33,$AI$30:$AR$33,8,FALSE)</f>
        <v>0</v>
      </c>
      <c r="Z33" s="219">
        <f ca="1">VLOOKUP($R33,$AI$30:$AR$33,9,FALSE)</f>
        <v>0</v>
      </c>
      <c r="AA33" s="75">
        <f ca="1">IF(SUM($AK$30:$AK$33)=12,MIN(ABS(BY32-BY33),ABS(BY33-BY34)),100)</f>
        <v>100</v>
      </c>
      <c r="AB33" s="94" t="str">
        <f ca="1">IF(AND(AA33&gt;=0,AA33&lt;90),VLOOKUP(Q33,$BU$30:$BV$33,2,0),"")</f>
        <v/>
      </c>
      <c r="AC33" s="74"/>
      <c r="AD33" s="75"/>
      <c r="AE33" s="72"/>
      <c r="AF33" s="293"/>
      <c r="AG33" s="268">
        <f ca="1">RANK(AU33,$AU$30:$AU$33)</f>
        <v>4</v>
      </c>
      <c r="AH33" s="268">
        <f ca="1">RANK(AR33,$AR$30:$AR$33)</f>
        <v>4</v>
      </c>
      <c r="AI33" s="268" t="str">
        <f ca="1">A32</f>
        <v>Costa Rica</v>
      </c>
      <c r="AJ33" s="268">
        <f ca="1">AL33*3+AM33*1+AN33*0</f>
        <v>0</v>
      </c>
      <c r="AK33" s="268">
        <f ca="1">COUNTIFS($I$4:$I$33,AI33,$K$4:$K$33,"&lt;&gt;",$L$4:$L$33,"&lt;&gt;")+COUNTIFS($N$4:$N$33,AI33,$L$4:$L$33,"&lt;&gt;",$K$4:$K$33,"&lt;&gt;")</f>
        <v>0</v>
      </c>
      <c r="AL33" s="268">
        <f t="array" aca="1" ref="AL33" ca="1">SUM(($I$4:$I$33=AI33)*($K$4:$K$33&lt;&gt;"")*($L$4:$L$33&lt;&gt;"")*($K$4:$K$33&gt;$L$4:$L$33),($N$4:$N$33=AI33)*($K$4:$K$33&lt;&gt;"")*($L$4:$L$33&lt;&gt;"")*($K$4:$K$33&lt;$L$4:$L$33))</f>
        <v>0</v>
      </c>
      <c r="AM33" s="268">
        <f t="array" aca="1" ref="AM33" ca="1">SUM(($I$4:$I$33=AI33)*($K$4:$K$33&lt;&gt;"")*($L$4:$L$33&lt;&gt;"")*($K$4:$K$33=$L$4:$L$33),($N$4:$N$33=AI33)*($K$4:$K$33&lt;&gt;"")*($L$4:$L$33&lt;&gt;"")*($K$4:$K$33=$L$4:$L$33))</f>
        <v>0</v>
      </c>
      <c r="AN33" s="268">
        <f t="array" aca="1" ref="AN33" ca="1">SUM(($I$4:$I$33=AI33)*($L$4:$L$33&lt;&gt;"")*($K$4:$K$33&lt;&gt;"")*($K$4:$K$33&lt;$L$4:$L$33),($K$4:$K$33&lt;&gt;"")*($N$4:$N$33=AI33)*($L$4:$L$33&lt;&gt;"")*($K$4:$K$33&gt;$L$4:$L$33))</f>
        <v>0</v>
      </c>
      <c r="AO33" s="268">
        <f t="array" aca="1" ref="AO33" ca="1">SUMIFS($K$4:$K$33,$I$4:$I$33,AI33,$K$4:$K$33,"&lt;&gt;",$L$4:$L$33,"&lt;&gt;")+SUMIFS($L$4:$L$33,$N$4:$N$33,AI33,$K$4:$K$33,"&lt;&gt;",$L$4:$L$33,"&lt;&gt;")</f>
        <v>0</v>
      </c>
      <c r="AP33" s="268">
        <f t="array" aca="1" ref="AP33" ca="1">SUMIFS($K$4:$K$33,$N$4:$N$33,AI33,$K$4:$K$33,"&lt;&gt;",$L$4:$L$33,"&lt;&gt;")+SUMIFS($L$4:$L$33,$I$4:$I$33,AI33,$K$4:$K$33,"&lt;&gt;",$L$4:$L$33,"&lt;&gt;")</f>
        <v>0</v>
      </c>
      <c r="AQ33" s="268">
        <f ca="1">AO33-AP33</f>
        <v>0</v>
      </c>
      <c r="AR33" s="268">
        <f ca="1">IF(AK33=0,-($AW$10*VLOOKUP(AI33,Tabla3[[NombreEquipo]:[Rank]],3,FALSE)),AJ33*$AW$4+AQ33*$AW$5+AO33*$AW$6+BA33-($AW$10*VLOOKUP(AI33,Tabla3[[NombreEquipo]:[Rank]],3,FALSE)/100))</f>
        <v>-16</v>
      </c>
      <c r="AS33" s="268">
        <f ca="1">AH33</f>
        <v>4</v>
      </c>
      <c r="AU33" s="268">
        <f ca="1">IFERROR(AR33-VLOOKUP(AI33,$AB$30:$AC$33,2,0),AR33)</f>
        <v>-16</v>
      </c>
      <c r="AY33" s="297" t="str">
        <f ca="1">AI33</f>
        <v>Costa Rica</v>
      </c>
      <c r="AZ33" s="268">
        <f ca="1">COUNTIF(AJ30:AJ33,AJ33)</f>
        <v>4</v>
      </c>
      <c r="BA33" s="268">
        <f ca="1">(BB33*$AW$9)+(BH33*$AW$8)+(BN33*$AW$7)</f>
        <v>111000</v>
      </c>
      <c r="BB33" s="295">
        <f ca="1">RANK(BC33,BC30:BC33,1)</f>
        <v>1</v>
      </c>
      <c r="BC33" s="295">
        <f ca="1">SUM(IF(AND(AJ33=AJ30,AQ33=AQ30,AO33=AO30),BD33,0),IF(AND(AJ33=AJ31,AQ33=AQ31,AO33=AO31),BE33,0),IF(AND(AJ33=AJ32,AQ33=AQ32,AO33=AO32),BF33,0))</f>
        <v>0</v>
      </c>
      <c r="BD33" s="295">
        <f t="array" aca="1" ref="BD33" ca="1">SUMIFS($K$28:$K$33,$I$28:$I$33,$AY33,$K$28:$K$33,"&lt;&gt;",$L$28:$L$33,"&lt;&gt;",$N$28:$N$33,BD29)+SUMIFS($L$28:$L$33,$I$28:$I$33,BD29,$K$28:$K$33,"&lt;&gt;",$L$28:$L$33,"&lt;&gt;",$N$28:$N$33,$AY33)</f>
        <v>0</v>
      </c>
      <c r="BE33" s="295">
        <f t="array" aca="1" ref="BE33" ca="1">SUMIFS($K$28:$K$33,$I$28:$I$33,$AY33,$K$28:$K$33,"&lt;&gt;",$L$28:$L$33,"&lt;&gt;",$N$28:$N$33,BE29)+SUMIFS($L$28:$L$33,$I$28:$I$33,BE29,$K$28:$K$33,"&lt;&gt;",$L$28:$L$33,"&lt;&gt;",$N$28:$N$33,$AY33)</f>
        <v>0</v>
      </c>
      <c r="BF33" s="295">
        <f t="array" aca="1" ref="BF33" ca="1">SUMIFS($K$28:$K$33,$I$28:$I$33,$AY33,$K$28:$K$33,"&lt;&gt;",$L$28:$L$33,"&lt;&gt;",$N$28:$N$33,BF29)+SUMIFS($L$28:$L$33,$I$28:$I$33,BF29,$K$28:$K$33,"&lt;&gt;",$L$28:$L$33,"&lt;&gt;",$N$28:$N$33,$AY33)</f>
        <v>0</v>
      </c>
      <c r="BG33" s="295">
        <v>0</v>
      </c>
      <c r="BH33" s="295">
        <f ca="1">RANK(BI33,BI30:BI33,1)</f>
        <v>1</v>
      </c>
      <c r="BI33" s="295">
        <f ca="1">SUM(IF(AND(AJ33=AJ30,AQ33=AQ30,AO33=AO30),BJ33,0),IF(AND(AJ33=AJ31,AQ33=AQ31,AO33=AO31),BK33,0),IF(AND(AJ33=AJ32,AQ33=AQ32,AO33=AO32),BL33,0))</f>
        <v>0</v>
      </c>
      <c r="BJ33" s="295">
        <f ca="1">BD33-BG30</f>
        <v>0</v>
      </c>
      <c r="BK33" s="295">
        <f ca="1">BE33-BG31</f>
        <v>0</v>
      </c>
      <c r="BL33" s="295">
        <f ca="1">BF33-BG32</f>
        <v>0</v>
      </c>
      <c r="BM33" s="295">
        <v>0</v>
      </c>
      <c r="BN33" s="295">
        <f ca="1">RANK(BO33,BO30:BO33,1)</f>
        <v>1</v>
      </c>
      <c r="BO33" s="295">
        <f ca="1">SUM(IF(AND(AJ33=AJ30,AQ33=AQ30,AO33=AO30),BP33,0),IF(AND(AJ33=AJ31,AQ33=AQ31,AO33=AO31),BQ33,0),IF(AND(AJ33=AJ32,AQ33=AQ32,AO33=AO32),BR33,0))</f>
        <v>0</v>
      </c>
      <c r="BP33" s="295">
        <f t="array" aca="1" ref="BP33" ca="1">SUM((I$4:I$33=AY33)*(N$4:N$33=BP29)*(K$4:K$33&lt;&gt;"")*(L$4:L$33&lt;&gt;"")*(K$4:K$33&gt;L$4:L$33)*3,(N$4:N$33=AY33)*(I$4:I$33=BP29)*(K$4:K$33&lt;&gt;"")*(L$4:L$33&lt;&gt;"")*(K$4:K$33=L$4:L$33)*1,(N$4:N$33=AY33)*(I$4:I$33=BP29)*(K$4:K$33&lt;&gt;"")*(L$4:L$33&lt;&gt;"")*(K$4:K$33&lt;L$4:L$33)*3,(I$4:I$33=AY33)*(N$4:N$33=BP29)*(K$4:K$33&lt;&gt;"")*(L$4:L$33&lt;&gt;"")*(K$4:K$33=L$4:L$33)*1)</f>
        <v>0</v>
      </c>
      <c r="BQ33" s="295">
        <f t="array" aca="1" ref="BQ33" ca="1">SUM((I$4:I$33=AY33)*(N$4:N$33=BQ29)*(K$4:K$33&lt;&gt;"")*(L$4:L$33&lt;&gt;"")*(K$4:K$33&gt;L$4:L$33)*3,(N$4:N$33=AY33)*(I$4:I$33=BQ29)*(K$4:K$33&lt;&gt;"")*(L$4:L$33&lt;&gt;"")*(K$4:K$33=L$4:L$33)*1,(N$4:N$33=AY33)*(I$4:I$33=BQ29)*(K$4:K$33&lt;&gt;"")*(L$4:L$33&lt;&gt;"")*(K$4:K$33&lt;L$4:L$33)*3,(I$4:I$33=AY33)*(N$4:N$33=BQ29)*(K$4:K$33&lt;&gt;"")*(L$4:L$33&lt;&gt;"")*(K$4:K$33=L$4:L$33)*1)</f>
        <v>0</v>
      </c>
      <c r="BR33" s="295">
        <f t="array" aca="1" ref="BR33" ca="1">SUM((I$4:I$33=AY33)*(N$4:N$33=BR29)*(K$4:K$33&lt;&gt;"")*(L$4:L$33&lt;&gt;"")*(K$4:K$33&gt;L$4:L$33)*3,(N$4:N$33=AY33)*(I$4:I$33=BR29)*(K$4:K$33&lt;&gt;"")*(L$4:L$33&lt;&gt;"")*(K$4:K$33=L$4:L$33)*1,(N$4:N$33=AY33)*(I$4:I$33=BR29)*(K$4:K$33&lt;&gt;"")*(L$4:L$33&lt;&gt;"")*(K$4:K$33&lt;L$4:L$33)*3,(I$4:I$33=AY33)*(N$4:N$33=BR29)*(K$4:K$33&lt;&gt;"")*(L$4:L$33&lt;&gt;"")*(K$4:K$33=L$4:L$33)*1)</f>
        <v>0</v>
      </c>
      <c r="BS33" s="295">
        <v>0</v>
      </c>
      <c r="BT33" s="268">
        <v>4</v>
      </c>
      <c r="BU33" s="268">
        <f ca="1">RANK(BW33,$BW$30:$BW$33)</f>
        <v>4</v>
      </c>
      <c r="BV33" s="268" t="str">
        <f ca="1">A32</f>
        <v>Costa Rica</v>
      </c>
      <c r="BW33" s="268">
        <f ca="1">IF(AK33=0,-($AW$10*VLOOKUP(AI33,Tabla3[[NombreEquipo]:[Rank]],3,FALSE)),AJ33*$AW$4+AQ33*$AW$5+AO33*$AW$6+BA33-($AW$10*VLOOKUP(AI33,Tabla3[[NombreEquipo]:[Rank]],3,FALSE)/100))</f>
        <v>-16</v>
      </c>
      <c r="BX33" s="268" t="str">
        <f ca="1">VLOOKUP(Q33,$AH$30:$AI$33,2,0)</f>
        <v>Costa Rica</v>
      </c>
      <c r="BY33" s="268">
        <f ca="1">VLOOKUP($BX33,$AI$30:$AR$33,10,FALSE)</f>
        <v>-16</v>
      </c>
      <c r="CC33" s="268">
        <f ca="1">RANK(CE33,$CE$30:$CE$33)</f>
        <v>4</v>
      </c>
      <c r="CD33" s="268" t="str">
        <f ca="1">A32</f>
        <v>Costa Rica</v>
      </c>
      <c r="CE33" s="268">
        <f ca="1">IF(AK33=0,-($AW$10*VLOOKUP(AI33,Tabla3[[NombreEquipo]:[Rank]],3,FALSE)),AJ33*$AW$4+AQ33*$AW$5+AO33*$AW$6+BA33-($AW$10*VLOOKUP(AI33,Tabla3[[NombreEquipo]:[Rank]],3,FALSE)/100))</f>
        <v>-16</v>
      </c>
      <c r="CF33" s="268">
        <f ca="1">IF(AK33=0,-($AW$10*VLOOKUP(AI33,Tabla3[[NombreEquipo]:[Rank]],3,FALSE)),AJ33*$AW$4+AQ33*$AW$5+AO33*$AW$6+BA33)</f>
        <v>-16</v>
      </c>
      <c r="CG33" s="268">
        <v>4</v>
      </c>
      <c r="CH33" s="268" t="str">
        <f t="shared" ca="1" si="28"/>
        <v>Costa Rica</v>
      </c>
      <c r="CI33" s="268">
        <f t="shared" ca="1" si="29"/>
        <v>-16</v>
      </c>
      <c r="CJ33" s="268">
        <f t="shared" ca="1" si="30"/>
        <v>1</v>
      </c>
      <c r="CM33" s="268">
        <v>4</v>
      </c>
      <c r="CN33" s="268">
        <f ca="1">HLOOKUP(CL30,$CX$4:$DE$9,6,0)</f>
        <v>4</v>
      </c>
      <c r="EG33" s="295"/>
      <c r="EI33" s="295"/>
      <c r="EK33" s="295"/>
    </row>
    <row r="34" spans="1:468 1273:1783" ht="15" customHeight="1" x14ac:dyDescent="0.3">
      <c r="A34" s="162"/>
      <c r="B34" s="162"/>
      <c r="C34" s="162"/>
      <c r="D34" s="84"/>
      <c r="E34" s="84"/>
      <c r="F34" s="84"/>
      <c r="G34" s="84"/>
      <c r="H34" s="84"/>
      <c r="I34" s="84"/>
      <c r="J34" s="84"/>
      <c r="K34" s="84"/>
      <c r="L34" s="84"/>
      <c r="M34" s="84"/>
      <c r="N34" s="84"/>
      <c r="O34" s="75"/>
      <c r="P34" s="73"/>
      <c r="Q34" s="72"/>
      <c r="R34" s="72"/>
      <c r="S34" s="77"/>
      <c r="T34" s="77"/>
      <c r="U34" s="77"/>
      <c r="V34" s="77"/>
      <c r="W34" s="77"/>
      <c r="X34" s="77"/>
      <c r="Y34" s="77"/>
      <c r="Z34" s="77"/>
      <c r="AA34" s="77"/>
      <c r="AB34" s="77"/>
      <c r="AC34" s="77"/>
      <c r="AD34" s="77"/>
      <c r="AE34" s="72"/>
      <c r="AF34" s="293"/>
      <c r="BPO34" s="567"/>
    </row>
    <row r="35" spans="1:468 1273:1783" x14ac:dyDescent="0.3">
      <c r="A35" s="162"/>
      <c r="B35" s="162"/>
      <c r="C35" s="162"/>
      <c r="D35" s="84"/>
      <c r="E35" s="91" t="str">
        <f>Idiomas!D24</f>
        <v>Cuartos de final</v>
      </c>
      <c r="F35" s="151"/>
      <c r="G35" s="91"/>
      <c r="H35" s="91"/>
      <c r="I35" s="91"/>
      <c r="J35" s="91"/>
      <c r="K35" s="91"/>
      <c r="L35" s="91"/>
      <c r="M35" s="91"/>
      <c r="N35" s="91"/>
      <c r="O35" s="70"/>
      <c r="P35" s="236"/>
      <c r="Q35" s="69"/>
      <c r="R35" s="69"/>
      <c r="S35" s="77"/>
      <c r="T35" s="77"/>
      <c r="U35" s="77"/>
      <c r="V35" s="77"/>
      <c r="W35" s="77"/>
      <c r="X35" s="77"/>
      <c r="Y35" s="77"/>
      <c r="Z35" s="77"/>
      <c r="AA35" s="77"/>
      <c r="AB35" s="77"/>
      <c r="AC35" s="77"/>
      <c r="AD35" s="77"/>
      <c r="AE35" s="72"/>
      <c r="AF35" s="293"/>
      <c r="NG35" s="568"/>
      <c r="NV35" s="568"/>
      <c r="NW35" s="568"/>
      <c r="OR35" s="568"/>
      <c r="PK35" s="568"/>
      <c r="PX35" s="568"/>
      <c r="QZ35" s="568"/>
    </row>
    <row r="36" spans="1:468 1273:1783" ht="15" customHeight="1" thickBot="1" x14ac:dyDescent="0.35">
      <c r="A36" s="162"/>
      <c r="B36" s="162"/>
      <c r="C36" s="162"/>
      <c r="D36" s="84"/>
      <c r="E36" s="88"/>
      <c r="F36" s="85" t="str">
        <f>F3</f>
        <v>Fecha</v>
      </c>
      <c r="G36" s="85" t="str">
        <f>G3</f>
        <v>Hora</v>
      </c>
      <c r="H36" s="89"/>
      <c r="I36" s="153" t="str">
        <f>I3</f>
        <v>Casa</v>
      </c>
      <c r="J36" s="152" t="s">
        <v>17</v>
      </c>
      <c r="K36" s="85" t="str">
        <f>K3</f>
        <v>Gol</v>
      </c>
      <c r="L36" s="85" t="str">
        <f>L3</f>
        <v>Gol</v>
      </c>
      <c r="M36" s="152" t="s">
        <v>17</v>
      </c>
      <c r="N36" s="88" t="str">
        <f>N3</f>
        <v>Fuera</v>
      </c>
      <c r="O36" s="70"/>
      <c r="P36" s="236"/>
      <c r="Q36" s="69"/>
      <c r="R36" s="69"/>
      <c r="S36" s="69"/>
      <c r="T36" s="69"/>
      <c r="U36" s="69"/>
      <c r="V36" s="69"/>
      <c r="W36" s="69"/>
      <c r="X36" s="69"/>
      <c r="Y36" s="69"/>
      <c r="Z36" s="69"/>
      <c r="AA36" s="71"/>
      <c r="AB36" s="71"/>
      <c r="AC36" s="71"/>
      <c r="AD36" s="71"/>
      <c r="AE36" s="72"/>
      <c r="AF36" s="293"/>
      <c r="AVY36" s="268" t="s">
        <v>131</v>
      </c>
      <c r="AVZ36" s="268" t="s">
        <v>132</v>
      </c>
    </row>
    <row r="37" spans="1:468 1273:1783" ht="15" customHeight="1" x14ac:dyDescent="0.3">
      <c r="A37" s="162"/>
      <c r="B37" s="162"/>
      <c r="C37" s="162"/>
      <c r="D37" s="84"/>
      <c r="E37" s="627" t="s">
        <v>68</v>
      </c>
      <c r="F37" s="176">
        <f>Horarios!C37</f>
        <v>45478.083333333336</v>
      </c>
      <c r="G37" s="177">
        <f>Horarios!C37</f>
        <v>45478.083333333336</v>
      </c>
      <c r="H37" s="178"/>
      <c r="I37" s="179" t="str">
        <f ca="1">IF(SUM(AK6:AK9)=12,VLOOKUP(1,AG6:AI9,3,FALSE),"1A")</f>
        <v>1A</v>
      </c>
      <c r="J37" s="180"/>
      <c r="K37" s="569"/>
      <c r="L37" s="569"/>
      <c r="M37" s="181"/>
      <c r="N37" s="570" t="str">
        <f ca="1">IF(SUM(AK14:AK17)=12,VLOOKUP(2,AG14:AI17,3,FALSE),"2B")</f>
        <v>2B</v>
      </c>
      <c r="O37" s="87">
        <f>IF(I44="W25",0,1)</f>
        <v>0</v>
      </c>
      <c r="P37" s="571">
        <v>25</v>
      </c>
      <c r="Q37" s="148"/>
      <c r="R37" s="148"/>
      <c r="S37" s="148"/>
      <c r="T37" s="148"/>
      <c r="U37" s="148"/>
      <c r="V37" s="148"/>
      <c r="W37" s="148"/>
      <c r="X37" s="148"/>
      <c r="Y37" s="148"/>
      <c r="Z37" s="148"/>
      <c r="AA37" s="71"/>
      <c r="AB37" s="71"/>
      <c r="AC37" s="71"/>
      <c r="AD37" s="71"/>
      <c r="AE37" s="72"/>
      <c r="AF37" s="293"/>
      <c r="AVY37" s="268" t="s">
        <v>133</v>
      </c>
      <c r="AVZ37" s="268" t="s">
        <v>131</v>
      </c>
    </row>
    <row r="38" spans="1:468 1273:1783" ht="15" customHeight="1" x14ac:dyDescent="0.3">
      <c r="A38" s="162"/>
      <c r="B38" s="162"/>
      <c r="C38" s="162"/>
      <c r="D38" s="84"/>
      <c r="E38" s="628"/>
      <c r="F38" s="165">
        <f>Horarios!C38</f>
        <v>45479.083333333336</v>
      </c>
      <c r="G38" s="166">
        <f>Horarios!C38</f>
        <v>45479.083333333336</v>
      </c>
      <c r="H38" s="167"/>
      <c r="I38" s="168" t="str">
        <f ca="1">IF(SUM(AK14:AK17)=12,VLOOKUP(1,AG14:AI17,3,FALSE),"1B")</f>
        <v>1B</v>
      </c>
      <c r="J38" s="169"/>
      <c r="K38" s="572"/>
      <c r="L38" s="572"/>
      <c r="M38" s="169"/>
      <c r="N38" s="573" t="str">
        <f ca="1">IF(SUM(AK6:AK9)=12,VLOOKUP(2,AG6:AI9,3,FALSE),"2A")</f>
        <v>2A</v>
      </c>
      <c r="O38" s="87">
        <f>IF(N44="W26",0,1)</f>
        <v>0</v>
      </c>
      <c r="P38" s="571">
        <v>26</v>
      </c>
      <c r="Q38" s="148"/>
      <c r="R38" s="148"/>
      <c r="S38" s="148"/>
      <c r="T38" s="148"/>
      <c r="U38" s="148"/>
      <c r="V38" s="148"/>
      <c r="W38" s="148"/>
      <c r="X38" s="148"/>
      <c r="Y38" s="148"/>
      <c r="Z38" s="148"/>
      <c r="AA38" s="71"/>
      <c r="AB38" s="71"/>
      <c r="AC38" s="71"/>
      <c r="AD38" s="71"/>
      <c r="AE38" s="72"/>
      <c r="AF38" s="293"/>
      <c r="AVY38" s="268" t="s">
        <v>134</v>
      </c>
      <c r="AVZ38" s="268" t="s">
        <v>133</v>
      </c>
    </row>
    <row r="39" spans="1:468 1273:1783" ht="15" customHeight="1" x14ac:dyDescent="0.3">
      <c r="A39" s="162"/>
      <c r="B39" s="162"/>
      <c r="C39" s="162"/>
      <c r="D39" s="84"/>
      <c r="E39" s="628"/>
      <c r="F39" s="165">
        <f>Horarios!C39</f>
        <v>45479.958333333336</v>
      </c>
      <c r="G39" s="166">
        <f>Horarios!C39</f>
        <v>45479.958333333336</v>
      </c>
      <c r="H39" s="170"/>
      <c r="I39" s="168" t="str">
        <f ca="1">IF(SUM(AK30:AK33)=12,VLOOKUP(1,AG30:AI33,3,FALSE),"1D")</f>
        <v>1D</v>
      </c>
      <c r="J39" s="169"/>
      <c r="K39" s="572"/>
      <c r="L39" s="572"/>
      <c r="M39" s="169"/>
      <c r="N39" s="573" t="str">
        <f ca="1">IF(SUM(AK22:AK25)=12,VLOOKUP(2,AG22:AI25,3,FALSE),"2C")</f>
        <v>2C</v>
      </c>
      <c r="O39" s="87">
        <f>IF(N45="W28",0,1)</f>
        <v>0</v>
      </c>
      <c r="P39" s="571">
        <v>28</v>
      </c>
      <c r="Q39" s="148"/>
      <c r="R39" s="148"/>
      <c r="S39" s="148"/>
      <c r="T39" s="148"/>
      <c r="U39" s="148"/>
      <c r="V39" s="148"/>
      <c r="W39" s="148"/>
      <c r="X39" s="148"/>
      <c r="Y39" s="148"/>
      <c r="Z39" s="148"/>
      <c r="AA39" s="71"/>
      <c r="AB39" s="71"/>
      <c r="AC39" s="71"/>
      <c r="AD39" s="71"/>
      <c r="AE39" s="72"/>
      <c r="AF39" s="293"/>
    </row>
    <row r="40" spans="1:468 1273:1783" ht="15" customHeight="1" thickBot="1" x14ac:dyDescent="0.35">
      <c r="A40" s="162"/>
      <c r="B40" s="162"/>
      <c r="C40" s="162"/>
      <c r="D40" s="84"/>
      <c r="E40" s="629"/>
      <c r="F40" s="182">
        <f>Horarios!C40</f>
        <v>45480.083333333336</v>
      </c>
      <c r="G40" s="183">
        <f>Horarios!C40</f>
        <v>45480.083333333336</v>
      </c>
      <c r="H40" s="184"/>
      <c r="I40" s="185" t="str">
        <f ca="1">IF(SUM(AK22:AK25)=12,VLOOKUP(1,AG22:AI25,3,FALSE),"1C")</f>
        <v>1C</v>
      </c>
      <c r="J40" s="186"/>
      <c r="K40" s="574"/>
      <c r="L40" s="574"/>
      <c r="M40" s="186"/>
      <c r="N40" s="575" t="str">
        <f ca="1">IF(SUM(AK30:AK33)=12,VLOOKUP(2,AG30:AI33,3,FALSE),"2D")</f>
        <v>2D</v>
      </c>
      <c r="O40" s="87">
        <f>IF(I45="W27",0,1)</f>
        <v>0</v>
      </c>
      <c r="P40" s="571">
        <v>27</v>
      </c>
      <c r="Q40" s="148"/>
      <c r="R40" s="148"/>
      <c r="S40" s="148"/>
      <c r="T40" s="148"/>
      <c r="U40" s="148"/>
      <c r="V40" s="148"/>
      <c r="W40" s="148"/>
      <c r="X40" s="148"/>
      <c r="Y40" s="148"/>
      <c r="Z40" s="148"/>
      <c r="AA40" s="71"/>
      <c r="AB40" s="71"/>
      <c r="AC40" s="71"/>
      <c r="AD40" s="71"/>
      <c r="AE40" s="72"/>
      <c r="AF40" s="293"/>
    </row>
    <row r="41" spans="1:468 1273:1783" x14ac:dyDescent="0.3">
      <c r="A41" s="162"/>
      <c r="B41" s="162"/>
      <c r="C41" s="162"/>
      <c r="D41" s="84"/>
      <c r="E41" s="91"/>
      <c r="F41" s="151"/>
      <c r="G41" s="91"/>
      <c r="H41" s="91"/>
      <c r="I41" s="91"/>
      <c r="J41" s="91"/>
      <c r="K41" s="91"/>
      <c r="L41" s="91"/>
      <c r="M41" s="91"/>
      <c r="N41" s="91"/>
      <c r="O41" s="576"/>
      <c r="P41" s="577"/>
      <c r="Q41" s="148"/>
      <c r="R41" s="148"/>
      <c r="S41" s="148"/>
      <c r="T41" s="148"/>
      <c r="U41" s="148"/>
      <c r="V41" s="148"/>
      <c r="W41" s="148"/>
      <c r="X41" s="148"/>
      <c r="Y41" s="148"/>
      <c r="Z41" s="148"/>
      <c r="AA41" s="148"/>
      <c r="AB41" s="148"/>
      <c r="AC41" s="148"/>
      <c r="AD41" s="71"/>
      <c r="AE41" s="72"/>
      <c r="AF41" s="293"/>
    </row>
    <row r="42" spans="1:468 1273:1783" x14ac:dyDescent="0.3">
      <c r="A42" s="162"/>
      <c r="B42" s="162"/>
      <c r="C42" s="162"/>
      <c r="D42" s="84"/>
      <c r="E42" s="91" t="str">
        <f>Idiomas!D25</f>
        <v>Semifinales</v>
      </c>
      <c r="F42" s="151"/>
      <c r="G42" s="91"/>
      <c r="H42" s="91"/>
      <c r="I42" s="91"/>
      <c r="J42" s="91"/>
      <c r="K42" s="91"/>
      <c r="L42" s="91"/>
      <c r="M42" s="91"/>
      <c r="N42" s="91"/>
      <c r="O42" s="576"/>
      <c r="P42" s="577"/>
      <c r="Q42" s="148"/>
      <c r="R42" s="148"/>
      <c r="S42" s="148"/>
      <c r="T42" s="148"/>
      <c r="U42" s="148"/>
      <c r="V42" s="148"/>
      <c r="W42" s="148"/>
      <c r="X42" s="148"/>
      <c r="Y42" s="148"/>
      <c r="Z42" s="148"/>
      <c r="AA42" s="148"/>
      <c r="AB42" s="148"/>
      <c r="AC42" s="148"/>
      <c r="AD42" s="71"/>
      <c r="AE42" s="72"/>
      <c r="AF42" s="293"/>
    </row>
    <row r="43" spans="1:468 1273:1783" ht="15" thickBot="1" x14ac:dyDescent="0.35">
      <c r="A43" s="162"/>
      <c r="B43" s="162"/>
      <c r="C43" s="162"/>
      <c r="D43" s="84"/>
      <c r="E43" s="88"/>
      <c r="F43" s="85" t="str">
        <f>F3</f>
        <v>Fecha</v>
      </c>
      <c r="G43" s="85" t="str">
        <f>G3</f>
        <v>Hora</v>
      </c>
      <c r="H43" s="89"/>
      <c r="I43" s="153" t="str">
        <f>I3</f>
        <v>Casa</v>
      </c>
      <c r="J43" s="578" t="s">
        <v>17</v>
      </c>
      <c r="K43" s="97" t="str">
        <f>K3</f>
        <v>Gol</v>
      </c>
      <c r="L43" s="97" t="str">
        <f>L3</f>
        <v>Gol</v>
      </c>
      <c r="M43" s="578" t="s">
        <v>17</v>
      </c>
      <c r="N43" s="88" t="str">
        <f>N3</f>
        <v>Fuera</v>
      </c>
      <c r="O43" s="576"/>
      <c r="P43" s="577"/>
      <c r="Q43" s="148"/>
      <c r="R43" s="148"/>
      <c r="S43" s="148"/>
      <c r="T43" s="148"/>
      <c r="U43" s="148"/>
      <c r="V43" s="148"/>
      <c r="W43" s="148"/>
      <c r="X43" s="148"/>
      <c r="Y43" s="148"/>
      <c r="Z43" s="148"/>
      <c r="AA43" s="148"/>
      <c r="AB43" s="148"/>
      <c r="AC43" s="148"/>
      <c r="AD43" s="71"/>
      <c r="AE43" s="72"/>
      <c r="AF43" s="293"/>
    </row>
    <row r="44" spans="1:468 1273:1783" ht="15" customHeight="1" x14ac:dyDescent="0.3">
      <c r="A44" s="162"/>
      <c r="B44" s="162"/>
      <c r="C44" s="162"/>
      <c r="D44" s="84"/>
      <c r="E44" s="625" t="s">
        <v>69</v>
      </c>
      <c r="F44" s="176">
        <f>Horarios!C43</f>
        <v>45483.041666666672</v>
      </c>
      <c r="G44" s="177">
        <f>Horarios!C43</f>
        <v>45483.041666666672</v>
      </c>
      <c r="H44" s="187"/>
      <c r="I44" s="179" t="str">
        <f>IF(AND(OR(K37="",L37="")),"W25",IF(K37&gt;L37,I37,IF(K37&lt;L37,N37,IF(AND(K37=L37,J37=M37),"W25",IF(AND(K37=L37,OR(J37="",M37="")),"W25",IF(AND(K37=L37,J37&gt;M37),I37,N37))))))</f>
        <v>W25</v>
      </c>
      <c r="J44" s="579"/>
      <c r="K44" s="580"/>
      <c r="L44" s="580"/>
      <c r="M44" s="579"/>
      <c r="N44" s="581" t="str">
        <f>IF(AND(OR(K38="",L38="")),"W26",IF(K38&gt;L38,I38,IF(K38&lt;L38,N38,IF(AND(K38=L38,J38=M38),"W26",IF(AND(K38=L38,OR(J38="",M38="")),"WC26",IF(AND(K38=L38,J38&gt;M38),I38,N38))))))</f>
        <v>W26</v>
      </c>
      <c r="O44" s="87">
        <f>IF(I53="W29",0,1)</f>
        <v>0</v>
      </c>
      <c r="P44" s="571">
        <v>29</v>
      </c>
      <c r="Q44" s="148"/>
      <c r="R44" s="148"/>
      <c r="S44" s="148"/>
      <c r="T44" s="148"/>
      <c r="U44" s="148"/>
      <c r="V44" s="148"/>
      <c r="W44" s="148"/>
      <c r="X44" s="148"/>
      <c r="Y44" s="148"/>
      <c r="Z44" s="148"/>
      <c r="AA44" s="148"/>
      <c r="AB44" s="148"/>
      <c r="AC44" s="148"/>
      <c r="AD44" s="149"/>
      <c r="AE44" s="290"/>
      <c r="AF44" s="298"/>
    </row>
    <row r="45" spans="1:468 1273:1783" ht="15" thickBot="1" x14ac:dyDescent="0.35">
      <c r="A45" s="162"/>
      <c r="B45" s="162"/>
      <c r="C45" s="162"/>
      <c r="D45" s="84"/>
      <c r="E45" s="626"/>
      <c r="F45" s="188">
        <f>Horarios!C44</f>
        <v>45484.041666666672</v>
      </c>
      <c r="G45" s="189">
        <f>Horarios!C44</f>
        <v>45484.041666666672</v>
      </c>
      <c r="H45" s="182"/>
      <c r="I45" s="185" t="str">
        <f>IF(AND(OR(K40="",L40="")),"W27",IF(K40&gt;L40,I40,IF(K40&lt;L40,N40,IF(AND(K40=L40,J40=M40),"W27",IF(AND(K40=L40,OR(J40="",M40="")),"W27",IF(AND(K40=L40,J40&gt;M40),I40,N40))))))</f>
        <v>W27</v>
      </c>
      <c r="J45" s="582"/>
      <c r="K45" s="583"/>
      <c r="L45" s="583"/>
      <c r="M45" s="582"/>
      <c r="N45" s="584" t="str">
        <f>IF(AND(OR(K39="",L39="")),"W28",IF(K39&gt;L39,I39,IF(K39&lt;L39,N39,IF(AND(K39=L39,J39=M39),"W28",IF(AND(K39=L39,OR(J39="",M39="")),"W28",IF(AND(K39=L39,J39&gt;M39),I39,N39))))))</f>
        <v>W28</v>
      </c>
      <c r="O45" s="87">
        <f>IF(N53="W30",0,1)</f>
        <v>0</v>
      </c>
      <c r="P45" s="571">
        <v>30</v>
      </c>
      <c r="Q45" s="148"/>
      <c r="R45" s="148"/>
      <c r="S45" s="148"/>
      <c r="T45" s="148"/>
      <c r="U45" s="148"/>
      <c r="V45" s="148"/>
      <c r="W45" s="148"/>
      <c r="X45" s="148"/>
      <c r="Y45" s="148"/>
      <c r="Z45" s="148"/>
      <c r="AA45" s="148"/>
      <c r="AB45" s="148"/>
      <c r="AC45" s="148"/>
      <c r="AD45" s="150"/>
      <c r="AE45" s="289"/>
      <c r="AF45" s="298"/>
      <c r="BI45" s="585"/>
    </row>
    <row r="46" spans="1:468 1273:1783" ht="16.95" customHeight="1" x14ac:dyDescent="0.3">
      <c r="A46" s="162"/>
      <c r="B46" s="162"/>
      <c r="C46" s="162"/>
      <c r="D46" s="84"/>
      <c r="E46" s="91"/>
      <c r="F46" s="151"/>
      <c r="G46" s="91"/>
      <c r="H46" s="91"/>
      <c r="I46" s="91"/>
      <c r="J46" s="91"/>
      <c r="K46" s="91"/>
      <c r="L46" s="91"/>
      <c r="M46" s="91"/>
      <c r="N46" s="91"/>
      <c r="O46" s="576"/>
      <c r="P46" s="586"/>
      <c r="Q46" s="148"/>
      <c r="R46" s="148"/>
      <c r="S46" s="148"/>
      <c r="T46" s="148"/>
      <c r="U46" s="148"/>
      <c r="V46" s="148"/>
      <c r="W46" s="148"/>
      <c r="X46" s="148"/>
      <c r="Y46" s="148"/>
      <c r="Z46" s="148"/>
      <c r="AA46" s="148"/>
      <c r="AB46" s="148"/>
      <c r="AC46" s="148"/>
      <c r="AD46" s="150"/>
      <c r="AE46" s="289"/>
      <c r="AF46" s="298"/>
      <c r="BI46" s="585"/>
    </row>
    <row r="47" spans="1:468 1273:1783" ht="16.95" customHeight="1" x14ac:dyDescent="0.3">
      <c r="A47" s="162"/>
      <c r="B47" s="162"/>
      <c r="C47" s="162"/>
      <c r="D47" s="84"/>
      <c r="E47" s="91" t="str">
        <f>Idiomas!D26</f>
        <v>3º-4º puesto</v>
      </c>
      <c r="F47" s="151"/>
      <c r="G47" s="91"/>
      <c r="H47" s="91"/>
      <c r="I47" s="91"/>
      <c r="J47" s="91"/>
      <c r="K47" s="91"/>
      <c r="L47" s="91"/>
      <c r="M47" s="91"/>
      <c r="N47" s="91"/>
      <c r="O47" s="576"/>
      <c r="P47" s="586"/>
      <c r="Q47" s="148"/>
      <c r="R47" s="148"/>
      <c r="S47" s="148"/>
      <c r="T47" s="148"/>
      <c r="U47" s="148"/>
      <c r="V47" s="148"/>
      <c r="W47" s="148"/>
      <c r="X47" s="148"/>
      <c r="Y47" s="148"/>
      <c r="Z47" s="148"/>
      <c r="AA47" s="148"/>
      <c r="AB47" s="148"/>
      <c r="AC47" s="148"/>
      <c r="AD47" s="150"/>
      <c r="AE47" s="289"/>
      <c r="AF47" s="298"/>
      <c r="BI47" s="585"/>
    </row>
    <row r="48" spans="1:468 1273:1783" ht="15" thickBot="1" x14ac:dyDescent="0.35">
      <c r="A48" s="162"/>
      <c r="B48" s="162"/>
      <c r="C48" s="162"/>
      <c r="D48" s="84"/>
      <c r="E48" s="88"/>
      <c r="F48" s="85" t="str">
        <f>F3</f>
        <v>Fecha</v>
      </c>
      <c r="G48" s="85" t="str">
        <f t="shared" ref="G48:N48" si="31">G3</f>
        <v>Hora</v>
      </c>
      <c r="H48" s="85"/>
      <c r="I48" s="153" t="str">
        <f t="shared" si="31"/>
        <v>Casa</v>
      </c>
      <c r="J48" s="85" t="s">
        <v>17</v>
      </c>
      <c r="K48" s="85" t="str">
        <f t="shared" si="31"/>
        <v>Gol</v>
      </c>
      <c r="L48" s="85" t="str">
        <f t="shared" si="31"/>
        <v>Gol</v>
      </c>
      <c r="M48" s="85" t="s">
        <v>17</v>
      </c>
      <c r="N48" s="269" t="str">
        <f t="shared" si="31"/>
        <v>Fuera</v>
      </c>
      <c r="O48" s="576"/>
      <c r="P48" s="586"/>
      <c r="Q48" s="148"/>
      <c r="R48" s="148"/>
      <c r="S48" s="148"/>
      <c r="T48" s="148"/>
      <c r="U48" s="148"/>
      <c r="V48" s="148"/>
      <c r="W48" s="148"/>
      <c r="X48" s="148"/>
      <c r="Y48" s="148"/>
      <c r="Z48" s="148"/>
      <c r="AA48" s="148"/>
      <c r="AB48" s="148"/>
      <c r="AC48" s="148"/>
      <c r="AD48" s="150"/>
      <c r="AE48" s="289"/>
      <c r="AF48" s="298"/>
      <c r="BI48" s="585"/>
    </row>
    <row r="49" spans="1:61 4547:4547" ht="21.6" thickBot="1" x14ac:dyDescent="0.35">
      <c r="A49" s="162"/>
      <c r="B49" s="162"/>
      <c r="C49" s="162"/>
      <c r="D49" s="84"/>
      <c r="E49" s="163" t="s">
        <v>469</v>
      </c>
      <c r="F49" s="158">
        <f>Horarios!C47</f>
        <v>45487.041666666672</v>
      </c>
      <c r="G49" s="159">
        <f>Horarios!C47</f>
        <v>45487.041666666672</v>
      </c>
      <c r="H49" s="160"/>
      <c r="I49" s="161" t="str">
        <f>IF(AND(OR(K44="",L44="")),"L29",IF(K44&gt;L44,N44,IF(K44&lt;L44,I44,IF(AND(K44=L44,J44=M44),"L29",IF(AND(K44=L44,OR(J44="",M44="")),"L29",IF(AND(K44=L44,J44&gt;M44),N44,I44))))))</f>
        <v>L29</v>
      </c>
      <c r="J49" s="587"/>
      <c r="K49" s="588"/>
      <c r="L49" s="588"/>
      <c r="M49" s="587"/>
      <c r="N49" s="589" t="str">
        <f>IF(AND(OR(K45="",L45="")),"L30",IF(K45&gt;L45,N45,IF(K45&lt;L45,I45,IF(AND(K45=L45,J45=M45),"L30",IF(AND(K45=L45,OR(J45="",M45="")),"L30",IF(AND(K45=L45,J45&gt;M45),N45,I45))))))</f>
        <v>L30</v>
      </c>
      <c r="O49" s="87">
        <f>IF(I58="W34",0,1)</f>
        <v>0</v>
      </c>
      <c r="P49" s="586"/>
      <c r="Q49" s="148"/>
      <c r="R49" s="148"/>
      <c r="S49" s="148"/>
      <c r="T49" s="148"/>
      <c r="U49" s="148"/>
      <c r="V49" s="148"/>
      <c r="W49" s="148"/>
      <c r="X49" s="148"/>
      <c r="Y49" s="148"/>
      <c r="Z49" s="148"/>
      <c r="AA49" s="148"/>
      <c r="AB49" s="148"/>
      <c r="AC49" s="148"/>
      <c r="AD49" s="150"/>
      <c r="AE49" s="289"/>
      <c r="AF49" s="298"/>
      <c r="BI49" s="585"/>
    </row>
    <row r="50" spans="1:61 4547:4547" x14ac:dyDescent="0.3">
      <c r="A50" s="162"/>
      <c r="B50" s="162"/>
      <c r="C50" s="162"/>
      <c r="D50" s="84"/>
      <c r="E50" s="91"/>
      <c r="F50" s="151"/>
      <c r="G50" s="91"/>
      <c r="H50" s="91"/>
      <c r="I50" s="91"/>
      <c r="J50" s="91"/>
      <c r="K50" s="91"/>
      <c r="L50" s="91"/>
      <c r="M50" s="91"/>
      <c r="N50" s="91"/>
      <c r="O50" s="576"/>
      <c r="P50" s="586"/>
      <c r="Q50" s="148"/>
      <c r="R50" s="148"/>
      <c r="S50" s="148"/>
      <c r="T50" s="148"/>
      <c r="U50" s="148"/>
      <c r="V50" s="148"/>
      <c r="W50" s="148"/>
      <c r="X50" s="148"/>
      <c r="Y50" s="148"/>
      <c r="Z50" s="148"/>
      <c r="AA50" s="148"/>
      <c r="AB50" s="148"/>
      <c r="AC50" s="148"/>
      <c r="AD50" s="150"/>
      <c r="AE50" s="289"/>
      <c r="AF50" s="298"/>
      <c r="BI50" s="585"/>
    </row>
    <row r="51" spans="1:61 4547:4547" x14ac:dyDescent="0.3">
      <c r="A51" s="162"/>
      <c r="B51" s="162"/>
      <c r="C51" s="162"/>
      <c r="D51" s="84"/>
      <c r="E51" s="91" t="str">
        <f>Idiomas!D27</f>
        <v>Final</v>
      </c>
      <c r="F51" s="151"/>
      <c r="G51" s="91"/>
      <c r="H51" s="91"/>
      <c r="I51" s="91"/>
      <c r="J51" s="91"/>
      <c r="K51" s="91"/>
      <c r="L51" s="91"/>
      <c r="M51" s="91"/>
      <c r="N51" s="91"/>
      <c r="O51" s="576"/>
      <c r="P51" s="586"/>
      <c r="Q51" s="148"/>
      <c r="R51" s="148"/>
      <c r="S51" s="148"/>
      <c r="T51" s="148"/>
      <c r="U51" s="148"/>
      <c r="V51" s="148"/>
      <c r="W51" s="148"/>
      <c r="X51" s="148"/>
      <c r="Y51" s="148"/>
      <c r="Z51" s="148"/>
      <c r="AA51" s="148"/>
      <c r="AB51" s="148"/>
      <c r="AC51" s="148"/>
      <c r="AD51" s="150"/>
      <c r="AE51" s="289"/>
      <c r="AF51" s="298"/>
      <c r="BI51" s="585"/>
    </row>
    <row r="52" spans="1:61 4547:4547" ht="15" thickBot="1" x14ac:dyDescent="0.35">
      <c r="A52" s="162"/>
      <c r="B52" s="162"/>
      <c r="C52" s="162"/>
      <c r="D52" s="84"/>
      <c r="E52" s="88"/>
      <c r="F52" s="85" t="str">
        <f>F3</f>
        <v>Fecha</v>
      </c>
      <c r="G52" s="85" t="str">
        <f>G3</f>
        <v>Hora</v>
      </c>
      <c r="H52" s="89"/>
      <c r="I52" s="153" t="str">
        <f>I3</f>
        <v>Casa</v>
      </c>
      <c r="J52" s="578" t="s">
        <v>17</v>
      </c>
      <c r="K52" s="97" t="str">
        <f>K3</f>
        <v>Gol</v>
      </c>
      <c r="L52" s="97" t="str">
        <f>L3</f>
        <v>Gol</v>
      </c>
      <c r="M52" s="578" t="s">
        <v>17</v>
      </c>
      <c r="N52" s="88" t="str">
        <f>N3</f>
        <v>Fuera</v>
      </c>
      <c r="O52" s="576"/>
      <c r="P52" s="586"/>
      <c r="Q52" s="150"/>
      <c r="R52" s="150"/>
      <c r="S52" s="150"/>
      <c r="T52" s="150"/>
      <c r="U52" s="150"/>
      <c r="V52" s="150"/>
      <c r="W52" s="150"/>
      <c r="X52" s="150"/>
      <c r="Y52" s="150"/>
      <c r="Z52" s="150"/>
      <c r="AA52" s="150"/>
      <c r="AB52" s="150"/>
      <c r="AC52" s="150"/>
      <c r="AD52" s="150"/>
      <c r="AE52" s="289"/>
      <c r="AF52" s="298"/>
      <c r="BI52" s="585"/>
      <c r="FRW52" s="268" t="s">
        <v>19</v>
      </c>
    </row>
    <row r="53" spans="1:61 4547:4547" ht="21.6" thickBot="1" x14ac:dyDescent="0.35">
      <c r="A53" s="162"/>
      <c r="B53" s="162"/>
      <c r="C53" s="162"/>
      <c r="D53" s="84"/>
      <c r="E53" s="163" t="s">
        <v>4</v>
      </c>
      <c r="F53" s="158">
        <f>Horarios!C50</f>
        <v>45488.041666666672</v>
      </c>
      <c r="G53" s="159">
        <f>Horarios!C50</f>
        <v>45488.041666666672</v>
      </c>
      <c r="H53" s="160"/>
      <c r="I53" s="161" t="str">
        <f>IF(AND(OR(K44="",L44="")),"W29",IF(K44&gt;L44,I44,IF(K44&lt;L44,N44,IF(AND(K44=L44,J44=M44),"W29",IF(AND(K44=L44,OR(J44="",M44="")),"W29",IF(AND(K44=L44,J44&gt;M44),I44,N44))))))</f>
        <v>W29</v>
      </c>
      <c r="J53" s="587"/>
      <c r="K53" s="588"/>
      <c r="L53" s="588"/>
      <c r="M53" s="587"/>
      <c r="N53" s="589" t="str">
        <f>IF(AND(OR(K45="",L45="")),"W30",IF(K45&gt;L45,I45,IF(K45&lt;L45,N45,IF(AND(K45=L45,J45=M45),"W30",IF(AND(K45=L45,OR(J45="",M45="")),"W30",IF(AND(K45=L45,J45&gt;M45),I45,N45))))))</f>
        <v>W30</v>
      </c>
      <c r="O53" s="87">
        <f>IF(I56="WF",0,1)</f>
        <v>0</v>
      </c>
      <c r="P53" s="586"/>
      <c r="Q53" s="150"/>
      <c r="R53" s="164" t="str">
        <f>Idiomas!D40</f>
        <v>QUINIELA INCOMPLETA:</v>
      </c>
      <c r="S53" s="164" t="str">
        <f>Idiomas!D41</f>
        <v>Aún falta algún pronóstico</v>
      </c>
      <c r="T53" s="150"/>
      <c r="U53" s="150"/>
      <c r="V53" s="150"/>
      <c r="W53" s="150"/>
      <c r="X53" s="150"/>
      <c r="Y53" s="150"/>
      <c r="Z53" s="150"/>
      <c r="AA53" s="150"/>
      <c r="AB53" s="150"/>
      <c r="AC53" s="150"/>
      <c r="AD53" s="150"/>
      <c r="AE53" s="289"/>
      <c r="AF53" s="293"/>
      <c r="BI53" s="585"/>
    </row>
    <row r="54" spans="1:61 4547:4547" ht="30" customHeight="1" x14ac:dyDescent="0.3">
      <c r="A54" s="162"/>
      <c r="B54" s="162"/>
      <c r="C54" s="162"/>
      <c r="D54" s="84"/>
      <c r="E54" s="91"/>
      <c r="F54" s="151"/>
      <c r="G54" s="91"/>
      <c r="H54" s="91"/>
      <c r="I54" s="91"/>
      <c r="J54" s="91"/>
      <c r="K54" s="91"/>
      <c r="L54" s="91"/>
      <c r="M54" s="91"/>
      <c r="N54" s="91"/>
      <c r="O54" s="578"/>
      <c r="P54" s="576"/>
      <c r="Q54" s="150"/>
      <c r="R54" s="164" t="str">
        <f>Idiomas!D42</f>
        <v>QUINIELA COMPLETA:</v>
      </c>
      <c r="S54" s="164" t="str">
        <f>Idiomas!D43</f>
        <v>Guarda el archivo y envialo al administrador de la quiniela</v>
      </c>
      <c r="T54" s="150"/>
      <c r="U54" s="150"/>
      <c r="V54" s="150"/>
      <c r="W54" s="150"/>
      <c r="X54" s="150"/>
      <c r="Y54" s="150"/>
      <c r="Z54" s="150"/>
      <c r="AA54" s="150"/>
      <c r="AB54" s="150"/>
      <c r="AC54" s="150"/>
      <c r="AD54" s="150"/>
      <c r="AE54" s="289"/>
      <c r="AF54" s="293"/>
      <c r="BI54" s="585"/>
    </row>
    <row r="55" spans="1:61 4547:4547" ht="15" thickBot="1" x14ac:dyDescent="0.35">
      <c r="A55" s="162"/>
      <c r="B55" s="162"/>
      <c r="C55" s="162"/>
      <c r="D55" s="91"/>
      <c r="E55" s="154"/>
      <c r="F55" s="154"/>
      <c r="G55" s="154"/>
      <c r="H55" s="154"/>
      <c r="I55" s="97" t="str">
        <f>Idiomas!D28</f>
        <v>CUADRO DE HONOR</v>
      </c>
      <c r="J55" s="154"/>
      <c r="K55" s="154"/>
      <c r="L55" s="154"/>
      <c r="M55" s="154"/>
      <c r="N55" s="154"/>
      <c r="O55" s="154"/>
      <c r="P55" s="69"/>
      <c r="Q55" s="69"/>
      <c r="R55" s="69"/>
      <c r="S55" s="69"/>
      <c r="T55" s="69"/>
      <c r="U55" s="69"/>
      <c r="V55" s="69"/>
      <c r="W55" s="69"/>
      <c r="X55" s="69"/>
      <c r="Y55" s="69"/>
      <c r="Z55" s="69"/>
      <c r="AA55" s="69"/>
      <c r="AB55" s="69"/>
      <c r="AC55" s="69"/>
      <c r="AD55" s="69"/>
      <c r="AE55" s="291"/>
      <c r="BI55" s="585"/>
    </row>
    <row r="56" spans="1:61 4547:4547" ht="18" x14ac:dyDescent="0.3">
      <c r="A56" s="162"/>
      <c r="B56" s="162"/>
      <c r="C56" s="162"/>
      <c r="D56" s="69"/>
      <c r="E56" s="259" t="str">
        <f>Idiomas!D29</f>
        <v>Campeón</v>
      </c>
      <c r="F56" s="172"/>
      <c r="G56" s="172"/>
      <c r="H56" s="173"/>
      <c r="I56" s="590" t="str">
        <f>IF(AND(OR(K53="",L53="")),"WF",IF(K53&gt;L53,I53,IF(K53&lt;L53,N53,IF(AND(K53=L53,J53=M53),"WF",IF(AND(K53=L53,OR(J53="",M53="")),"WF",IF(AND(K53=L53,J53&gt;M53),I53,N53))))))</f>
        <v>WF</v>
      </c>
      <c r="J56" s="299"/>
      <c r="K56" s="299"/>
      <c r="L56" s="299"/>
      <c r="M56" s="299"/>
      <c r="N56" s="300"/>
      <c r="O56" s="87">
        <f>IF(I56="WF",0,1)</f>
        <v>0</v>
      </c>
      <c r="P56" s="69"/>
      <c r="Q56" s="638" t="str">
        <f>IF(SUM(COUNTIF(O4:O33,0),COUNTIF(O37:O66,0)&gt;0),R53,R54)</f>
        <v>QUINIELA INCOMPLETA:</v>
      </c>
      <c r="R56" s="639"/>
      <c r="S56" s="639"/>
      <c r="T56" s="639"/>
      <c r="U56" s="639"/>
      <c r="V56" s="639"/>
      <c r="W56" s="639"/>
      <c r="X56" s="639"/>
      <c r="Y56" s="639"/>
      <c r="Z56" s="639"/>
      <c r="AA56" s="640"/>
      <c r="AB56" s="69"/>
      <c r="AC56" s="69"/>
      <c r="AD56" s="69"/>
      <c r="AE56" s="291"/>
      <c r="BI56" s="585"/>
    </row>
    <row r="57" spans="1:61 4547:4547" ht="15.6" x14ac:dyDescent="0.3">
      <c r="A57" s="162"/>
      <c r="B57" s="162"/>
      <c r="C57" s="162"/>
      <c r="D57" s="69"/>
      <c r="E57" s="278" t="str">
        <f>Idiomas!D30</f>
        <v>Subcampeón</v>
      </c>
      <c r="F57" s="171"/>
      <c r="G57" s="171"/>
      <c r="H57" s="279"/>
      <c r="I57" s="591" t="str">
        <f>IF(AND(OR(K53="",L53="")),"LF",IF(K53&gt;L53,N53,IF(K53&lt;L53,I53,IF(AND(K53=L53,J53=M53),"LF",IF(AND(K53=L53,OR(J53="",M53="")),"LF",IF(AND(K53=L53,J53&gt;M53),N53,I53))))))</f>
        <v>LF</v>
      </c>
      <c r="J57" s="301"/>
      <c r="K57" s="301"/>
      <c r="L57" s="301"/>
      <c r="M57" s="301"/>
      <c r="N57" s="302"/>
      <c r="O57" s="87">
        <f>IF(I57="LF",0,1)</f>
        <v>0</v>
      </c>
      <c r="P57" s="69"/>
      <c r="Q57" s="641"/>
      <c r="R57" s="642"/>
      <c r="S57" s="642"/>
      <c r="T57" s="642"/>
      <c r="U57" s="642"/>
      <c r="V57" s="642"/>
      <c r="W57" s="642"/>
      <c r="X57" s="642"/>
      <c r="Y57" s="642"/>
      <c r="Z57" s="642"/>
      <c r="AA57" s="643"/>
      <c r="AB57" s="69"/>
      <c r="AC57" s="69"/>
      <c r="AD57" s="69"/>
      <c r="AE57" s="291"/>
      <c r="BI57" s="585"/>
    </row>
    <row r="58" spans="1:61 4547:4547" ht="16.2" thickBot="1" x14ac:dyDescent="0.35">
      <c r="A58" s="162"/>
      <c r="B58" s="162"/>
      <c r="C58" s="162"/>
      <c r="D58" s="69"/>
      <c r="E58" s="260" t="str">
        <f>Idiomas!D31</f>
        <v>3º puesto</v>
      </c>
      <c r="F58" s="174"/>
      <c r="G58" s="174"/>
      <c r="H58" s="175"/>
      <c r="I58" s="592" t="str">
        <f>IF(AND(OR(K49="",L49="")),"W34",IF(K49&gt;L49,I49,IF(K49&lt;L49,N49,IF(AND(K49=L49,J49=M49),"W34",IF(AND(K49=L49,OR(J49="",M49="")),"W34",IF(AND(K49=L49,J49&gt;M49),I49,N49))))))</f>
        <v>W34</v>
      </c>
      <c r="J58" s="303"/>
      <c r="K58" s="303"/>
      <c r="L58" s="303"/>
      <c r="M58" s="303"/>
      <c r="N58" s="304"/>
      <c r="O58" s="87">
        <f>IF(I58="W34",0,1)</f>
        <v>0</v>
      </c>
      <c r="P58" s="69"/>
      <c r="Q58" s="641"/>
      <c r="R58" s="642"/>
      <c r="S58" s="642"/>
      <c r="T58" s="642"/>
      <c r="U58" s="642"/>
      <c r="V58" s="642"/>
      <c r="W58" s="642"/>
      <c r="X58" s="642"/>
      <c r="Y58" s="642"/>
      <c r="Z58" s="642"/>
      <c r="AA58" s="643"/>
      <c r="AB58" s="69"/>
      <c r="AC58" s="69"/>
      <c r="AD58" s="69"/>
      <c r="AE58" s="291"/>
      <c r="BI58" s="585"/>
    </row>
    <row r="59" spans="1:61 4547:4547" x14ac:dyDescent="0.3">
      <c r="A59" s="162"/>
      <c r="B59" s="162"/>
      <c r="C59" s="162"/>
      <c r="D59" s="69"/>
      <c r="E59" s="156"/>
      <c r="F59" s="156"/>
      <c r="G59" s="156"/>
      <c r="H59" s="156"/>
      <c r="I59" s="156"/>
      <c r="J59" s="68"/>
      <c r="K59" s="68"/>
      <c r="L59" s="68"/>
      <c r="M59" s="68"/>
      <c r="N59" s="68"/>
      <c r="O59" s="68"/>
      <c r="P59" s="69"/>
      <c r="Q59" s="619" t="str">
        <f>IF(SUM(COUNTIF(O4:O33,0),COUNTIF(O37:O66,0)&gt;0),S53,S54)</f>
        <v>Aún falta algún pronóstico</v>
      </c>
      <c r="R59" s="620"/>
      <c r="S59" s="620"/>
      <c r="T59" s="620"/>
      <c r="U59" s="620"/>
      <c r="V59" s="620"/>
      <c r="W59" s="620"/>
      <c r="X59" s="620"/>
      <c r="Y59" s="620"/>
      <c r="Z59" s="620"/>
      <c r="AA59" s="621"/>
      <c r="AB59" s="69"/>
      <c r="AC59" s="69"/>
      <c r="AD59" s="69"/>
      <c r="AE59" s="291"/>
    </row>
    <row r="60" spans="1:61 4547:4547" ht="15" thickBot="1" x14ac:dyDescent="0.35">
      <c r="A60" s="162"/>
      <c r="B60" s="162"/>
      <c r="C60" s="162"/>
      <c r="D60" s="69"/>
      <c r="E60" s="156"/>
      <c r="F60" s="156"/>
      <c r="G60" s="156"/>
      <c r="H60" s="156"/>
      <c r="I60" s="156"/>
      <c r="J60" s="68"/>
      <c r="K60" s="68"/>
      <c r="L60" s="68"/>
      <c r="M60" s="68"/>
      <c r="N60" s="68"/>
      <c r="O60" s="68"/>
      <c r="P60" s="69"/>
      <c r="Q60" s="619"/>
      <c r="R60" s="620"/>
      <c r="S60" s="620"/>
      <c r="T60" s="620"/>
      <c r="U60" s="620"/>
      <c r="V60" s="620"/>
      <c r="W60" s="620"/>
      <c r="X60" s="620"/>
      <c r="Y60" s="620"/>
      <c r="Z60" s="620"/>
      <c r="AA60" s="621"/>
      <c r="AB60" s="69"/>
      <c r="AC60" s="69"/>
      <c r="AD60" s="69"/>
      <c r="AE60" s="291"/>
    </row>
    <row r="61" spans="1:61 4547:4547" ht="18.600000000000001" thickBot="1" x14ac:dyDescent="0.35">
      <c r="A61" s="162"/>
      <c r="B61" s="162"/>
      <c r="C61" s="162"/>
      <c r="D61" s="69"/>
      <c r="E61" s="259" t="str">
        <f>Idiomas!D32</f>
        <v>Goleador del torneo</v>
      </c>
      <c r="F61" s="172"/>
      <c r="G61" s="280"/>
      <c r="H61" s="173"/>
      <c r="I61" s="270" t="str">
        <f>Idiomas!D35</f>
        <v>Escribe un jugador</v>
      </c>
      <c r="J61" s="299"/>
      <c r="K61" s="299"/>
      <c r="L61" s="299"/>
      <c r="M61" s="299"/>
      <c r="N61" s="300"/>
      <c r="O61" s="87">
        <f>IF(I61=P61,0,IF(I61="",0,1))</f>
        <v>0</v>
      </c>
      <c r="P61" s="235" t="str">
        <f>Idiomas!D35</f>
        <v>Escribe un jugador</v>
      </c>
      <c r="Q61" s="622"/>
      <c r="R61" s="623"/>
      <c r="S61" s="623"/>
      <c r="T61" s="623"/>
      <c r="U61" s="623"/>
      <c r="V61" s="623"/>
      <c r="W61" s="623"/>
      <c r="X61" s="623"/>
      <c r="Y61" s="623"/>
      <c r="Z61" s="623"/>
      <c r="AA61" s="624"/>
      <c r="AB61" s="69"/>
      <c r="AC61" s="69"/>
      <c r="AD61" s="69"/>
      <c r="AE61" s="291"/>
    </row>
    <row r="62" spans="1:61 4547:4547" ht="15.6" x14ac:dyDescent="0.3">
      <c r="A62" s="162"/>
      <c r="B62" s="162"/>
      <c r="C62" s="162"/>
      <c r="D62" s="69"/>
      <c r="E62" s="278" t="str">
        <f>Idiomas!D33</f>
        <v>Mejor jugador del torneo</v>
      </c>
      <c r="F62" s="171"/>
      <c r="G62" s="171"/>
      <c r="H62" s="279"/>
      <c r="I62" s="281" t="str">
        <f>Idiomas!D36</f>
        <v>Escribe un jugador</v>
      </c>
      <c r="J62" s="301"/>
      <c r="K62" s="301"/>
      <c r="L62" s="301"/>
      <c r="M62" s="301"/>
      <c r="N62" s="302"/>
      <c r="O62" s="87">
        <f>IF(I62=P62,0,IF(I62="",0,1))</f>
        <v>0</v>
      </c>
      <c r="P62" s="235" t="str">
        <f>Idiomas!D36</f>
        <v>Escribe un jugador</v>
      </c>
      <c r="Q62" s="69"/>
      <c r="R62" s="69"/>
      <c r="S62" s="69"/>
      <c r="T62" s="69"/>
      <c r="U62" s="69"/>
      <c r="V62" s="69"/>
      <c r="W62" s="69"/>
      <c r="X62" s="69"/>
      <c r="Y62" s="69"/>
      <c r="Z62" s="69"/>
      <c r="AA62" s="69"/>
      <c r="AB62" s="69"/>
      <c r="AC62" s="69"/>
      <c r="AD62" s="69"/>
      <c r="AE62" s="291"/>
    </row>
    <row r="63" spans="1:61 4547:4547" ht="16.2" thickBot="1" x14ac:dyDescent="0.35">
      <c r="A63" s="162"/>
      <c r="B63" s="162"/>
      <c r="C63" s="162"/>
      <c r="D63" s="69"/>
      <c r="E63" s="260" t="str">
        <f>Idiomas!D34</f>
        <v>Mejor portero del torneo</v>
      </c>
      <c r="F63" s="174"/>
      <c r="G63" s="174"/>
      <c r="H63" s="175"/>
      <c r="I63" s="271" t="str">
        <f>Idiomas!D37</f>
        <v>Escribe un portero</v>
      </c>
      <c r="J63" s="303"/>
      <c r="K63" s="303"/>
      <c r="L63" s="303"/>
      <c r="M63" s="303"/>
      <c r="N63" s="304"/>
      <c r="O63" s="87">
        <f>IF(I63=P63,0,IF(I63="",0,1))</f>
        <v>0</v>
      </c>
      <c r="P63" s="234" t="str">
        <f>Idiomas!D37</f>
        <v>Escribe un portero</v>
      </c>
      <c r="Q63" s="69"/>
      <c r="R63" s="69"/>
      <c r="S63" s="69"/>
      <c r="T63" s="69"/>
      <c r="U63" s="69"/>
      <c r="V63" s="69"/>
      <c r="W63" s="69"/>
      <c r="X63" s="69"/>
      <c r="Y63" s="69"/>
      <c r="Z63" s="69"/>
      <c r="AA63" s="69"/>
      <c r="AB63" s="69"/>
      <c r="AC63" s="69"/>
      <c r="AD63" s="69"/>
      <c r="AE63" s="291"/>
    </row>
    <row r="64" spans="1:61 4547:4547" ht="15.6" x14ac:dyDescent="0.3">
      <c r="A64" s="162"/>
      <c r="B64" s="162"/>
      <c r="C64" s="162"/>
      <c r="D64" s="69"/>
      <c r="E64" s="157"/>
      <c r="F64" s="157"/>
      <c r="G64" s="157"/>
      <c r="H64" s="157"/>
      <c r="I64" s="261"/>
      <c r="J64" s="261"/>
      <c r="K64" s="261"/>
      <c r="L64" s="261"/>
      <c r="M64" s="261"/>
      <c r="N64" s="261"/>
      <c r="O64" s="155"/>
      <c r="P64" s="155"/>
      <c r="Q64" s="69"/>
      <c r="R64" s="69"/>
      <c r="S64" s="69"/>
      <c r="T64" s="69"/>
      <c r="U64" s="69"/>
      <c r="V64" s="69"/>
      <c r="W64" s="69"/>
      <c r="X64" s="69"/>
      <c r="Y64" s="69"/>
      <c r="Z64" s="69"/>
      <c r="AA64" s="69"/>
      <c r="AB64" s="69"/>
      <c r="AC64" s="69"/>
      <c r="AD64" s="69"/>
      <c r="AE64" s="291"/>
    </row>
    <row r="65" spans="1:31" ht="15" thickBot="1" x14ac:dyDescent="0.35">
      <c r="A65" s="162"/>
      <c r="B65" s="162"/>
      <c r="C65" s="162"/>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291"/>
    </row>
    <row r="66" spans="1:31" ht="18" thickBot="1" x14ac:dyDescent="0.35">
      <c r="A66" s="162"/>
      <c r="B66" s="162"/>
      <c r="C66" s="162"/>
      <c r="D66" s="69"/>
      <c r="E66" s="190" t="str">
        <f>Idiomas!D38</f>
        <v>TU NOMBRE</v>
      </c>
      <c r="F66" s="191"/>
      <c r="G66" s="191"/>
      <c r="H66" s="192"/>
      <c r="I66" s="593" t="str">
        <f>Idiomas!D39</f>
        <v>ESCRIBE TU NOMBRE</v>
      </c>
      <c r="J66" s="305"/>
      <c r="K66" s="305"/>
      <c r="L66" s="305"/>
      <c r="M66" s="305"/>
      <c r="N66" s="306"/>
      <c r="O66" s="87">
        <f>IF(I66=P66,0,IF(I66="",0,1))</f>
        <v>0</v>
      </c>
      <c r="P66" s="234" t="str">
        <f>Idiomas!D39</f>
        <v>ESCRIBE TU NOMBRE</v>
      </c>
      <c r="Q66" s="69"/>
      <c r="R66" s="69"/>
      <c r="S66" s="69"/>
      <c r="T66" s="69"/>
      <c r="U66" s="69"/>
      <c r="V66" s="69"/>
      <c r="W66" s="69"/>
      <c r="X66" s="69"/>
      <c r="Y66" s="69"/>
      <c r="Z66" s="69"/>
      <c r="AA66" s="69"/>
      <c r="AB66" s="69"/>
      <c r="AC66" s="69"/>
      <c r="AD66" s="69"/>
      <c r="AE66" s="291"/>
    </row>
    <row r="67" spans="1:31" x14ac:dyDescent="0.3">
      <c r="A67" s="162"/>
      <c r="B67" s="162"/>
      <c r="C67" s="162"/>
      <c r="D67" s="69"/>
      <c r="E67" s="156"/>
      <c r="F67" s="156"/>
      <c r="G67" s="156"/>
      <c r="H67" s="156"/>
      <c r="I67" s="156"/>
      <c r="J67" s="156"/>
      <c r="K67" s="156"/>
      <c r="L67" s="156"/>
      <c r="M67" s="156"/>
      <c r="N67" s="156"/>
      <c r="O67" s="156"/>
      <c r="P67" s="69"/>
      <c r="Q67" s="69"/>
      <c r="R67" s="69"/>
      <c r="S67" s="69"/>
      <c r="T67" s="69"/>
      <c r="U67" s="69"/>
      <c r="V67" s="69"/>
      <c r="W67" s="69"/>
      <c r="X67" s="69"/>
      <c r="Y67" s="69"/>
      <c r="Z67" s="69"/>
      <c r="AA67" s="69"/>
      <c r="AB67" s="69"/>
      <c r="AC67" s="69"/>
      <c r="AD67" s="69"/>
      <c r="AE67" s="291"/>
    </row>
    <row r="68" spans="1:31" x14ac:dyDescent="0.3">
      <c r="A68" s="162"/>
      <c r="B68" s="162"/>
      <c r="C68" s="162"/>
      <c r="D68" s="69"/>
      <c r="E68" s="156"/>
      <c r="F68" s="156"/>
      <c r="G68" s="156"/>
      <c r="H68" s="156"/>
      <c r="I68" s="156"/>
      <c r="J68" s="156"/>
      <c r="K68" s="156"/>
      <c r="L68" s="156"/>
      <c r="M68" s="156"/>
      <c r="N68" s="156"/>
      <c r="O68" s="156"/>
      <c r="P68" s="69"/>
      <c r="Q68" s="69"/>
      <c r="R68" s="69"/>
      <c r="S68" s="69"/>
      <c r="T68" s="69"/>
      <c r="U68" s="69"/>
      <c r="V68" s="69"/>
      <c r="W68" s="69"/>
      <c r="X68" s="69"/>
      <c r="Y68" s="69"/>
      <c r="Z68" s="69"/>
      <c r="AA68" s="69"/>
      <c r="AB68" s="69"/>
      <c r="AC68" s="69"/>
      <c r="AD68" s="69"/>
      <c r="AE68" s="291"/>
    </row>
    <row r="69" spans="1:31" x14ac:dyDescent="0.3">
      <c r="A69" s="162"/>
      <c r="B69" s="162"/>
      <c r="C69" s="162"/>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291"/>
    </row>
    <row r="70" spans="1:31" x14ac:dyDescent="0.3">
      <c r="A70" s="284"/>
      <c r="B70" s="284"/>
      <c r="C70" s="284"/>
      <c r="D70" s="7"/>
      <c r="E70" s="7"/>
      <c r="F70" s="7"/>
      <c r="G70" s="7"/>
      <c r="H70" s="7"/>
      <c r="I70" s="7"/>
      <c r="J70" s="7"/>
      <c r="K70" s="7"/>
      <c r="L70" s="7"/>
      <c r="M70" s="7"/>
      <c r="N70" s="7"/>
      <c r="O70" s="7"/>
      <c r="P70" s="7"/>
      <c r="Q70" s="7"/>
      <c r="R70" s="7"/>
      <c r="S70" s="7"/>
      <c r="T70" s="7"/>
      <c r="U70" s="7"/>
      <c r="V70" s="7"/>
      <c r="W70" s="7"/>
      <c r="X70" s="7"/>
      <c r="Y70" s="7"/>
      <c r="Z70" s="7"/>
      <c r="AA70" s="8"/>
      <c r="AB70" s="8"/>
      <c r="AC70" s="8"/>
      <c r="AD70" s="8"/>
      <c r="AE70" s="594"/>
    </row>
    <row r="71" spans="1:31" x14ac:dyDescent="0.3">
      <c r="A71" s="284"/>
      <c r="B71" s="284"/>
      <c r="C71" s="284"/>
      <c r="D71" s="7"/>
      <c r="E71" s="7"/>
      <c r="F71" s="7"/>
      <c r="G71" s="7"/>
      <c r="H71" s="7"/>
      <c r="I71" s="7"/>
      <c r="J71" s="7"/>
      <c r="K71" s="7"/>
      <c r="L71" s="7"/>
      <c r="M71" s="7"/>
      <c r="N71" s="7"/>
      <c r="O71" s="7"/>
      <c r="P71" s="7"/>
      <c r="Q71" s="7"/>
      <c r="R71" s="7"/>
      <c r="S71" s="7"/>
      <c r="T71" s="7"/>
      <c r="U71" s="7"/>
      <c r="V71" s="7"/>
      <c r="W71" s="7"/>
      <c r="X71" s="7"/>
      <c r="Y71" s="7"/>
      <c r="Z71" s="7"/>
      <c r="AA71" s="8"/>
      <c r="AB71" s="8"/>
      <c r="AC71" s="8"/>
      <c r="AD71" s="8"/>
      <c r="AE71" s="594"/>
    </row>
    <row r="72" spans="1:31" x14ac:dyDescent="0.3">
      <c r="A72" s="284"/>
      <c r="B72" s="284"/>
      <c r="C72" s="284"/>
      <c r="D72" s="7"/>
      <c r="E72" s="7"/>
      <c r="F72" s="7"/>
      <c r="G72" s="7"/>
      <c r="H72" s="7"/>
      <c r="I72" s="7"/>
      <c r="J72" s="7"/>
      <c r="K72" s="7"/>
      <c r="L72" s="7"/>
      <c r="M72" s="7"/>
      <c r="N72" s="7"/>
      <c r="O72" s="7"/>
      <c r="P72" s="7"/>
      <c r="Q72" s="7"/>
      <c r="R72" s="7"/>
      <c r="S72" s="7"/>
      <c r="T72" s="7"/>
      <c r="U72" s="7"/>
      <c r="V72" s="7"/>
      <c r="W72" s="7"/>
      <c r="X72" s="7"/>
      <c r="Y72" s="7"/>
      <c r="Z72" s="7"/>
      <c r="AA72" s="8"/>
      <c r="AB72" s="8"/>
      <c r="AC72" s="8"/>
      <c r="AD72" s="8"/>
      <c r="AE72" s="594"/>
    </row>
    <row r="73" spans="1:31" x14ac:dyDescent="0.3">
      <c r="A73" s="284"/>
      <c r="B73" s="284"/>
      <c r="C73" s="284"/>
      <c r="D73" s="7"/>
      <c r="E73" s="7"/>
      <c r="F73" s="7"/>
      <c r="G73" s="7"/>
      <c r="H73" s="7"/>
      <c r="I73" s="7"/>
      <c r="J73" s="7"/>
      <c r="K73" s="7"/>
      <c r="L73" s="7"/>
      <c r="M73" s="7"/>
      <c r="N73" s="7"/>
      <c r="O73" s="7"/>
      <c r="P73" s="7"/>
      <c r="Q73" s="7"/>
      <c r="R73" s="7"/>
      <c r="S73" s="7"/>
      <c r="T73" s="7"/>
      <c r="U73" s="7"/>
      <c r="V73" s="7"/>
      <c r="W73" s="7"/>
      <c r="X73" s="7"/>
      <c r="Y73" s="7"/>
      <c r="Z73" s="7"/>
      <c r="AA73" s="8"/>
      <c r="AB73" s="8"/>
      <c r="AC73" s="8"/>
      <c r="AD73" s="8"/>
      <c r="AE73" s="594"/>
    </row>
    <row r="74" spans="1:31" x14ac:dyDescent="0.3">
      <c r="A74" s="284"/>
      <c r="B74" s="284"/>
      <c r="C74" s="284"/>
      <c r="D74" s="7"/>
      <c r="E74" s="7"/>
      <c r="F74" s="7"/>
      <c r="G74" s="7"/>
      <c r="H74" s="7"/>
      <c r="I74" s="7"/>
      <c r="J74" s="7"/>
      <c r="K74" s="7"/>
      <c r="L74" s="7"/>
      <c r="M74" s="7"/>
      <c r="N74" s="7"/>
      <c r="O74" s="7"/>
      <c r="P74" s="7"/>
      <c r="Q74" s="7"/>
      <c r="R74" s="7"/>
      <c r="S74" s="7"/>
      <c r="T74" s="7"/>
      <c r="U74" s="7"/>
      <c r="V74" s="7"/>
      <c r="W74" s="7"/>
      <c r="X74" s="7"/>
      <c r="Y74" s="7"/>
      <c r="Z74" s="7"/>
      <c r="AA74" s="8"/>
      <c r="AB74" s="8"/>
      <c r="AC74" s="8"/>
      <c r="AD74" s="8"/>
      <c r="AE74" s="594"/>
    </row>
    <row r="75" spans="1:31" x14ac:dyDescent="0.3">
      <c r="A75" s="284"/>
      <c r="B75" s="284"/>
      <c r="C75" s="284"/>
      <c r="D75" s="7"/>
      <c r="E75" s="7"/>
      <c r="F75" s="7"/>
      <c r="G75" s="7"/>
      <c r="H75" s="7"/>
      <c r="I75" s="7"/>
      <c r="J75" s="7"/>
      <c r="K75" s="7"/>
      <c r="L75" s="7"/>
      <c r="M75" s="7"/>
      <c r="N75" s="7"/>
      <c r="O75" s="7"/>
      <c r="P75" s="7"/>
      <c r="Q75" s="7"/>
      <c r="R75" s="7"/>
      <c r="S75" s="7"/>
      <c r="T75" s="7"/>
      <c r="U75" s="7"/>
      <c r="V75" s="7"/>
      <c r="W75" s="7"/>
      <c r="X75" s="7"/>
      <c r="Y75" s="7"/>
      <c r="Z75" s="7"/>
      <c r="AA75" s="8"/>
      <c r="AB75" s="8"/>
      <c r="AC75" s="8"/>
      <c r="AD75" s="8"/>
      <c r="AE75" s="594"/>
    </row>
    <row r="76" spans="1:31" x14ac:dyDescent="0.3">
      <c r="A76" s="284"/>
      <c r="B76" s="284"/>
      <c r="C76" s="284"/>
      <c r="D76" s="7"/>
      <c r="E76" s="7"/>
      <c r="F76" s="7"/>
      <c r="G76" s="7"/>
      <c r="H76" s="7"/>
      <c r="I76" s="7"/>
      <c r="J76" s="7"/>
      <c r="K76" s="7"/>
      <c r="L76" s="7"/>
      <c r="M76" s="7"/>
      <c r="N76" s="7"/>
      <c r="O76" s="7"/>
      <c r="P76" s="7"/>
      <c r="Q76" s="7"/>
      <c r="R76" s="7"/>
      <c r="S76" s="7"/>
      <c r="T76" s="7"/>
      <c r="U76" s="7"/>
      <c r="V76" s="7"/>
      <c r="W76" s="7"/>
      <c r="X76" s="7"/>
      <c r="Y76" s="7"/>
      <c r="Z76" s="7"/>
      <c r="AA76" s="8"/>
      <c r="AB76" s="8"/>
      <c r="AC76" s="8"/>
      <c r="AD76" s="8"/>
      <c r="AE76" s="594"/>
    </row>
    <row r="77" spans="1:31" x14ac:dyDescent="0.3">
      <c r="A77" s="284"/>
      <c r="B77" s="284"/>
      <c r="C77" s="284"/>
      <c r="D77" s="7"/>
      <c r="E77" s="7"/>
      <c r="F77" s="7"/>
      <c r="G77" s="7"/>
      <c r="H77" s="7"/>
      <c r="I77" s="7"/>
      <c r="J77" s="7"/>
      <c r="K77" s="7"/>
      <c r="L77" s="7"/>
      <c r="M77" s="7"/>
      <c r="N77" s="7"/>
      <c r="O77" s="7"/>
      <c r="P77" s="7"/>
      <c r="Q77" s="7"/>
      <c r="R77" s="7"/>
      <c r="S77" s="7"/>
      <c r="T77" s="7"/>
      <c r="U77" s="7"/>
      <c r="V77" s="7"/>
      <c r="W77" s="7"/>
      <c r="X77" s="7"/>
      <c r="Y77" s="7"/>
      <c r="Z77" s="7"/>
      <c r="AA77" s="8"/>
      <c r="AB77" s="8"/>
      <c r="AC77" s="8"/>
      <c r="AD77" s="8"/>
      <c r="AE77" s="594"/>
    </row>
    <row r="78" spans="1:31" x14ac:dyDescent="0.3">
      <c r="A78" s="284"/>
      <c r="B78" s="284"/>
      <c r="C78" s="284"/>
      <c r="D78" s="7"/>
      <c r="E78" s="7"/>
      <c r="F78" s="7"/>
      <c r="G78" s="7"/>
      <c r="H78" s="7"/>
      <c r="I78" s="7"/>
      <c r="J78" s="7"/>
      <c r="K78" s="7"/>
      <c r="L78" s="7"/>
      <c r="M78" s="7"/>
      <c r="N78" s="7"/>
      <c r="O78" s="7"/>
      <c r="P78" s="7"/>
      <c r="Q78" s="7"/>
      <c r="R78" s="7"/>
      <c r="S78" s="7"/>
      <c r="T78" s="7"/>
      <c r="U78" s="7"/>
      <c r="V78" s="7"/>
      <c r="W78" s="7"/>
      <c r="X78" s="7"/>
      <c r="Y78" s="7"/>
      <c r="Z78" s="7"/>
      <c r="AA78" s="8"/>
      <c r="AB78" s="8"/>
      <c r="AC78" s="8"/>
      <c r="AD78" s="8"/>
      <c r="AE78" s="594"/>
    </row>
    <row r="79" spans="1:31" x14ac:dyDescent="0.3">
      <c r="A79" s="284"/>
      <c r="B79" s="284"/>
      <c r="C79" s="284"/>
      <c r="D79" s="7"/>
      <c r="E79" s="7"/>
      <c r="F79" s="7"/>
      <c r="G79" s="7"/>
      <c r="H79" s="7"/>
      <c r="I79" s="7"/>
      <c r="J79" s="7"/>
      <c r="K79" s="7"/>
      <c r="L79" s="7"/>
      <c r="M79" s="7"/>
      <c r="N79" s="7"/>
      <c r="O79" s="7"/>
      <c r="P79" s="7"/>
      <c r="Q79" s="7"/>
      <c r="R79" s="7"/>
      <c r="S79" s="7"/>
      <c r="T79" s="7"/>
      <c r="U79" s="7"/>
      <c r="V79" s="7"/>
      <c r="W79" s="7"/>
      <c r="X79" s="7"/>
      <c r="Y79" s="7"/>
      <c r="Z79" s="7"/>
      <c r="AA79" s="8"/>
      <c r="AB79" s="8"/>
      <c r="AC79" s="8"/>
      <c r="AD79" s="8"/>
      <c r="AE79" s="594"/>
    </row>
    <row r="80" spans="1:31" x14ac:dyDescent="0.3">
      <c r="A80" s="284"/>
      <c r="B80" s="284"/>
      <c r="C80" s="284"/>
      <c r="D80" s="7"/>
      <c r="E80" s="7"/>
      <c r="F80" s="7"/>
      <c r="G80" s="7"/>
      <c r="H80" s="7"/>
      <c r="I80" s="7"/>
      <c r="J80" s="7"/>
      <c r="K80" s="7"/>
      <c r="L80" s="7"/>
      <c r="M80" s="7"/>
      <c r="N80" s="7"/>
      <c r="O80" s="7"/>
      <c r="P80" s="7"/>
      <c r="Q80" s="7"/>
      <c r="R80" s="7"/>
      <c r="S80" s="7"/>
      <c r="T80" s="7"/>
      <c r="U80" s="7"/>
      <c r="V80" s="7"/>
      <c r="W80" s="7"/>
      <c r="X80" s="7"/>
      <c r="Y80" s="7"/>
      <c r="Z80" s="7"/>
      <c r="AA80" s="8"/>
      <c r="AB80" s="8"/>
      <c r="AC80" s="8"/>
      <c r="AD80" s="8"/>
      <c r="AE80" s="594"/>
    </row>
    <row r="81" spans="1:31 2941:2941 14699:14699" x14ac:dyDescent="0.3">
      <c r="A81" s="284"/>
      <c r="B81" s="284"/>
      <c r="C81" s="284"/>
      <c r="D81" s="7"/>
      <c r="E81" s="7"/>
      <c r="F81" s="7"/>
      <c r="G81" s="7"/>
      <c r="H81" s="7"/>
      <c r="I81" s="7"/>
      <c r="J81" s="7"/>
      <c r="K81" s="7"/>
      <c r="L81" s="7"/>
      <c r="M81" s="7"/>
      <c r="N81" s="7"/>
      <c r="O81" s="7"/>
      <c r="P81" s="7"/>
      <c r="Q81" s="7"/>
      <c r="R81" s="7"/>
      <c r="S81" s="7"/>
      <c r="T81" s="7"/>
      <c r="U81" s="7"/>
      <c r="V81" s="7"/>
      <c r="W81" s="7"/>
      <c r="X81" s="7"/>
      <c r="Y81" s="7"/>
      <c r="Z81" s="7"/>
      <c r="AA81" s="8"/>
      <c r="AB81" s="8"/>
      <c r="AC81" s="8"/>
      <c r="AD81" s="8"/>
      <c r="AE81" s="594"/>
    </row>
    <row r="82" spans="1:31 2941:2941 14699:14699" x14ac:dyDescent="0.3">
      <c r="A82" s="284"/>
      <c r="B82" s="284"/>
      <c r="C82" s="284"/>
      <c r="D82" s="7"/>
      <c r="E82" s="7"/>
      <c r="F82" s="7"/>
      <c r="G82" s="7"/>
      <c r="H82" s="7"/>
      <c r="I82" s="7"/>
      <c r="J82" s="7"/>
      <c r="K82" s="7"/>
      <c r="L82" s="7"/>
      <c r="M82" s="7"/>
      <c r="N82" s="7"/>
      <c r="O82" s="7"/>
      <c r="P82" s="7"/>
      <c r="Q82" s="7"/>
      <c r="R82" s="7"/>
      <c r="S82" s="7"/>
      <c r="T82" s="7"/>
      <c r="U82" s="7"/>
      <c r="V82" s="7"/>
      <c r="W82" s="7"/>
      <c r="X82" s="7"/>
      <c r="Y82" s="7"/>
      <c r="Z82" s="7"/>
      <c r="AA82" s="8"/>
      <c r="AB82" s="8"/>
      <c r="AC82" s="8"/>
      <c r="AD82" s="8"/>
      <c r="AE82" s="594"/>
    </row>
    <row r="83" spans="1:31 2941:2941 14699:14699" x14ac:dyDescent="0.3">
      <c r="A83" s="284"/>
      <c r="B83" s="284"/>
      <c r="C83" s="284"/>
      <c r="D83" s="7"/>
      <c r="E83" s="7"/>
      <c r="F83" s="7"/>
      <c r="G83" s="7"/>
      <c r="H83" s="7"/>
      <c r="I83" s="7"/>
      <c r="J83" s="7"/>
      <c r="K83" s="7"/>
      <c r="L83" s="7"/>
      <c r="M83" s="7"/>
      <c r="N83" s="7"/>
      <c r="O83" s="7"/>
      <c r="P83" s="7"/>
      <c r="Q83" s="7"/>
      <c r="R83" s="7"/>
      <c r="S83" s="7"/>
      <c r="T83" s="7"/>
      <c r="U83" s="7"/>
      <c r="V83" s="7"/>
      <c r="W83" s="7"/>
      <c r="X83" s="7"/>
      <c r="Y83" s="7"/>
      <c r="Z83" s="7"/>
      <c r="AA83" s="8"/>
      <c r="AB83" s="8"/>
      <c r="AC83" s="8"/>
      <c r="AD83" s="8"/>
      <c r="AE83" s="594"/>
    </row>
    <row r="84" spans="1:31 2941:2941 14699:14699" x14ac:dyDescent="0.3">
      <c r="A84" s="284"/>
      <c r="B84" s="284"/>
      <c r="C84" s="284"/>
      <c r="D84" s="7"/>
      <c r="E84" s="7"/>
      <c r="F84" s="7"/>
      <c r="G84" s="7"/>
      <c r="H84" s="7"/>
      <c r="I84" s="7"/>
      <c r="J84" s="7"/>
      <c r="K84" s="7"/>
      <c r="L84" s="7"/>
      <c r="M84" s="7"/>
      <c r="N84" s="7"/>
      <c r="O84" s="7"/>
      <c r="P84" s="7"/>
      <c r="Q84" s="7"/>
      <c r="R84" s="7"/>
      <c r="S84" s="7"/>
      <c r="T84" s="7"/>
      <c r="U84" s="7"/>
      <c r="V84" s="7"/>
      <c r="W84" s="7"/>
      <c r="X84" s="7"/>
      <c r="Y84" s="7"/>
      <c r="Z84" s="7"/>
      <c r="AA84" s="8"/>
      <c r="AB84" s="8"/>
      <c r="AC84" s="8"/>
      <c r="AD84" s="8"/>
      <c r="AE84" s="594"/>
    </row>
    <row r="85" spans="1:31 2941:2941 14699:14699" x14ac:dyDescent="0.3">
      <c r="A85" s="284"/>
      <c r="B85" s="284"/>
      <c r="C85" s="284"/>
      <c r="D85" s="7"/>
      <c r="E85" s="7"/>
      <c r="F85" s="7"/>
      <c r="G85" s="7"/>
      <c r="H85" s="7"/>
      <c r="I85" s="7"/>
      <c r="J85" s="7"/>
      <c r="K85" s="7"/>
      <c r="L85" s="7"/>
      <c r="M85" s="7"/>
      <c r="N85" s="7"/>
      <c r="O85" s="7"/>
      <c r="P85" s="7"/>
      <c r="Q85" s="7"/>
      <c r="R85" s="7"/>
      <c r="S85" s="7"/>
      <c r="T85" s="7"/>
      <c r="U85" s="7"/>
      <c r="V85" s="7"/>
      <c r="W85" s="7"/>
      <c r="X85" s="7"/>
      <c r="Y85" s="7"/>
      <c r="Z85" s="7"/>
      <c r="AA85" s="8"/>
      <c r="AB85" s="8"/>
      <c r="AC85" s="8"/>
      <c r="AD85" s="8"/>
      <c r="AE85" s="594"/>
    </row>
    <row r="86" spans="1:31 2941:2941 14699:14699" x14ac:dyDescent="0.3">
      <c r="A86" s="284"/>
      <c r="B86" s="284"/>
      <c r="C86" s="284"/>
      <c r="D86" s="7"/>
      <c r="E86" s="7"/>
      <c r="F86" s="7"/>
      <c r="G86" s="7"/>
      <c r="H86" s="7"/>
      <c r="I86" s="7"/>
      <c r="J86" s="7"/>
      <c r="K86" s="7"/>
      <c r="L86" s="7"/>
      <c r="M86" s="7"/>
      <c r="N86" s="7"/>
      <c r="O86" s="7"/>
      <c r="P86" s="7"/>
      <c r="Q86" s="7"/>
      <c r="R86" s="7"/>
      <c r="S86" s="7"/>
      <c r="T86" s="7"/>
      <c r="U86" s="7"/>
      <c r="V86" s="7"/>
      <c r="W86" s="7"/>
      <c r="X86" s="7"/>
      <c r="Y86" s="7"/>
      <c r="Z86" s="7"/>
      <c r="AA86" s="8"/>
      <c r="AB86" s="8"/>
      <c r="AC86" s="8"/>
      <c r="AD86" s="8"/>
      <c r="AE86" s="594"/>
    </row>
    <row r="87" spans="1:31 2941:2941 14699:14699" x14ac:dyDescent="0.3">
      <c r="A87" s="284"/>
      <c r="B87" s="284"/>
      <c r="C87" s="284"/>
      <c r="D87" s="7"/>
      <c r="E87" s="7"/>
      <c r="F87" s="7"/>
      <c r="G87" s="7"/>
      <c r="H87" s="7"/>
      <c r="I87" s="7"/>
      <c r="J87" s="7"/>
      <c r="K87" s="7"/>
      <c r="L87" s="7"/>
      <c r="M87" s="7"/>
      <c r="N87" s="7"/>
      <c r="O87" s="7"/>
      <c r="P87" s="7"/>
      <c r="Q87" s="7"/>
      <c r="R87" s="7"/>
      <c r="S87" s="7"/>
      <c r="T87" s="7"/>
      <c r="U87" s="7"/>
      <c r="V87" s="7"/>
      <c r="W87" s="7"/>
      <c r="X87" s="7"/>
      <c r="Y87" s="7"/>
      <c r="Z87" s="7"/>
      <c r="AA87" s="8"/>
      <c r="AB87" s="8"/>
      <c r="AC87" s="8"/>
      <c r="AD87" s="8"/>
      <c r="AE87" s="594"/>
    </row>
    <row r="88" spans="1:31 2941:2941 14699:14699" x14ac:dyDescent="0.3">
      <c r="A88" s="284"/>
      <c r="B88" s="284"/>
      <c r="C88" s="284"/>
      <c r="D88" s="7"/>
      <c r="E88" s="7"/>
      <c r="F88" s="7"/>
      <c r="G88" s="7"/>
      <c r="H88" s="7"/>
      <c r="I88" s="7"/>
      <c r="J88" s="7"/>
      <c r="K88" s="7"/>
      <c r="L88" s="7"/>
      <c r="M88" s="7"/>
      <c r="N88" s="7"/>
      <c r="O88" s="7"/>
      <c r="P88" s="7"/>
      <c r="Q88" s="7"/>
      <c r="R88" s="7"/>
      <c r="S88" s="7"/>
      <c r="T88" s="7"/>
      <c r="U88" s="7"/>
      <c r="V88" s="7"/>
      <c r="W88" s="7"/>
      <c r="X88" s="7"/>
      <c r="Y88" s="7"/>
      <c r="Z88" s="7"/>
      <c r="AA88" s="8"/>
      <c r="AB88" s="8"/>
      <c r="AC88" s="8"/>
      <c r="AD88" s="8"/>
      <c r="AE88" s="594"/>
    </row>
    <row r="89" spans="1:31 2941:2941 14699:14699" x14ac:dyDescent="0.3">
      <c r="A89" s="284"/>
      <c r="B89" s="284"/>
      <c r="C89" s="284"/>
      <c r="D89" s="7"/>
      <c r="E89" s="7"/>
      <c r="F89" s="7"/>
      <c r="G89" s="7"/>
      <c r="H89" s="7"/>
      <c r="I89" s="7"/>
      <c r="J89" s="7"/>
      <c r="K89" s="7"/>
      <c r="L89" s="7"/>
      <c r="M89" s="7"/>
      <c r="N89" s="7"/>
      <c r="O89" s="7"/>
      <c r="P89" s="7"/>
      <c r="Q89" s="7"/>
      <c r="R89" s="7"/>
      <c r="S89" s="7"/>
      <c r="T89" s="7"/>
      <c r="U89" s="7"/>
      <c r="V89" s="7"/>
      <c r="W89" s="7"/>
      <c r="X89" s="7"/>
      <c r="Y89" s="7"/>
      <c r="Z89" s="7"/>
      <c r="AA89" s="8"/>
      <c r="AB89" s="8"/>
      <c r="AC89" s="8"/>
      <c r="AD89" s="8"/>
      <c r="AE89" s="594"/>
    </row>
    <row r="90" spans="1:31 2941:2941 14699:14699" x14ac:dyDescent="0.3">
      <c r="A90" s="284"/>
      <c r="B90" s="284"/>
      <c r="C90" s="284"/>
      <c r="D90" s="7"/>
      <c r="E90" s="7"/>
      <c r="F90" s="7"/>
      <c r="G90" s="7"/>
      <c r="H90" s="7"/>
      <c r="I90" s="7"/>
      <c r="J90" s="7"/>
      <c r="K90" s="7"/>
      <c r="L90" s="7"/>
      <c r="M90" s="7"/>
      <c r="N90" s="7"/>
      <c r="O90" s="7"/>
      <c r="P90" s="7"/>
      <c r="Q90" s="7"/>
      <c r="R90" s="7"/>
      <c r="S90" s="7"/>
      <c r="T90" s="7"/>
      <c r="U90" s="7"/>
      <c r="V90" s="7"/>
      <c r="W90" s="7"/>
      <c r="X90" s="7"/>
      <c r="Y90" s="7"/>
      <c r="Z90" s="7"/>
      <c r="AA90" s="8"/>
      <c r="AB90" s="8"/>
      <c r="AC90" s="8"/>
      <c r="AD90" s="8"/>
      <c r="AE90" s="594"/>
    </row>
    <row r="91" spans="1:31 2941:2941 14699:14699" x14ac:dyDescent="0.3">
      <c r="A91" s="284"/>
      <c r="B91" s="284"/>
      <c r="C91" s="284"/>
      <c r="D91" s="7"/>
      <c r="E91" s="7"/>
      <c r="F91" s="7"/>
      <c r="G91" s="7"/>
      <c r="H91" s="7"/>
      <c r="I91" s="7"/>
      <c r="J91" s="7"/>
      <c r="K91" s="7"/>
      <c r="L91" s="7"/>
      <c r="M91" s="7"/>
      <c r="N91" s="7"/>
      <c r="O91" s="7"/>
      <c r="P91" s="7"/>
      <c r="Q91" s="7"/>
      <c r="R91" s="7"/>
      <c r="S91" s="7"/>
      <c r="T91" s="7"/>
      <c r="U91" s="7"/>
      <c r="V91" s="7"/>
      <c r="W91" s="7"/>
      <c r="X91" s="7"/>
      <c r="Y91" s="7"/>
      <c r="Z91" s="7"/>
      <c r="AA91" s="8"/>
      <c r="AB91" s="8"/>
      <c r="AC91" s="8"/>
      <c r="AD91" s="8"/>
      <c r="AE91" s="594"/>
    </row>
    <row r="92" spans="1:31 2941:2941 14699:14699" x14ac:dyDescent="0.3">
      <c r="A92" s="284"/>
      <c r="B92" s="284"/>
      <c r="C92" s="284"/>
      <c r="D92" s="7"/>
      <c r="E92" s="7"/>
      <c r="F92" s="7"/>
      <c r="G92" s="7"/>
      <c r="H92" s="7"/>
      <c r="I92" s="7"/>
      <c r="J92" s="7"/>
      <c r="K92" s="7"/>
      <c r="L92" s="7"/>
      <c r="M92" s="7"/>
      <c r="N92" s="7"/>
      <c r="O92" s="7"/>
      <c r="P92" s="7"/>
      <c r="Q92" s="7"/>
      <c r="R92" s="7"/>
      <c r="S92" s="7"/>
      <c r="T92" s="7"/>
      <c r="U92" s="7"/>
      <c r="V92" s="7"/>
      <c r="W92" s="7"/>
      <c r="X92" s="7"/>
      <c r="Y92" s="7"/>
      <c r="Z92" s="7"/>
      <c r="AA92" s="8"/>
      <c r="AB92" s="8"/>
      <c r="AC92" s="8"/>
      <c r="AD92" s="8"/>
      <c r="AE92" s="594"/>
    </row>
    <row r="93" spans="1:31 2941:2941 14699:14699" x14ac:dyDescent="0.3">
      <c r="A93" s="284"/>
      <c r="B93" s="284"/>
      <c r="C93" s="284"/>
      <c r="D93" s="7"/>
      <c r="E93" s="7"/>
      <c r="F93" s="7"/>
      <c r="G93" s="7"/>
      <c r="H93" s="7"/>
      <c r="I93" s="7"/>
      <c r="J93" s="7"/>
      <c r="K93" s="7"/>
      <c r="L93" s="7"/>
      <c r="M93" s="7"/>
      <c r="N93" s="7"/>
      <c r="O93" s="7"/>
      <c r="P93" s="7"/>
      <c r="Q93" s="7"/>
      <c r="R93" s="7"/>
      <c r="S93" s="7"/>
      <c r="T93" s="7"/>
      <c r="U93" s="7"/>
      <c r="V93" s="7"/>
      <c r="W93" s="7"/>
      <c r="X93" s="7"/>
      <c r="Y93" s="7"/>
      <c r="Z93" s="7"/>
      <c r="AA93" s="8"/>
      <c r="AB93" s="8"/>
      <c r="AC93" s="8"/>
      <c r="AD93" s="8"/>
      <c r="AE93" s="594"/>
    </row>
    <row r="94" spans="1:31 2941:2941 14699:14699" x14ac:dyDescent="0.3">
      <c r="A94" s="284"/>
      <c r="B94" s="284"/>
      <c r="C94" s="284"/>
      <c r="D94" s="7"/>
      <c r="E94" s="7"/>
      <c r="F94" s="7"/>
      <c r="G94" s="7"/>
      <c r="H94" s="7"/>
      <c r="I94" s="7"/>
      <c r="J94" s="7"/>
      <c r="K94" s="7"/>
      <c r="L94" s="7"/>
      <c r="M94" s="7"/>
      <c r="N94" s="7"/>
      <c r="O94" s="7"/>
      <c r="P94" s="7"/>
      <c r="Q94" s="7"/>
      <c r="R94" s="7"/>
      <c r="S94" s="7"/>
      <c r="T94" s="7"/>
      <c r="U94" s="7"/>
      <c r="V94" s="7"/>
      <c r="W94" s="7"/>
      <c r="X94" s="7"/>
      <c r="Y94" s="7"/>
      <c r="Z94" s="7"/>
      <c r="AA94" s="8"/>
      <c r="AB94" s="8"/>
      <c r="AC94" s="8"/>
      <c r="AD94" s="8"/>
      <c r="AE94" s="594"/>
      <c r="USI94" s="268" t="s">
        <v>109</v>
      </c>
    </row>
    <row r="95" spans="1:31 2941:2941 14699:14699" x14ac:dyDescent="0.3">
      <c r="A95" s="284"/>
      <c r="B95" s="284"/>
      <c r="C95" s="284"/>
      <c r="D95" s="7"/>
      <c r="E95" s="7"/>
      <c r="F95" s="7"/>
      <c r="G95" s="7"/>
      <c r="H95" s="7"/>
      <c r="I95" s="7"/>
      <c r="J95" s="7"/>
      <c r="K95" s="7"/>
      <c r="L95" s="7"/>
      <c r="M95" s="7"/>
      <c r="N95" s="7"/>
      <c r="O95" s="7"/>
      <c r="P95" s="7"/>
      <c r="Q95" s="7"/>
      <c r="R95" s="7"/>
      <c r="S95" s="7"/>
      <c r="T95" s="7"/>
      <c r="U95" s="7"/>
      <c r="V95" s="7"/>
      <c r="W95" s="7"/>
      <c r="X95" s="7"/>
      <c r="Y95" s="7"/>
      <c r="Z95" s="7"/>
      <c r="AA95" s="8"/>
      <c r="AB95" s="8"/>
      <c r="AC95" s="8"/>
      <c r="AD95" s="8"/>
      <c r="AE95" s="594"/>
    </row>
    <row r="96" spans="1:31 2941:2941 14699:14699" x14ac:dyDescent="0.3">
      <c r="A96" s="284"/>
      <c r="B96" s="284"/>
      <c r="C96" s="284"/>
      <c r="D96" s="7"/>
      <c r="E96" s="7"/>
      <c r="F96" s="7"/>
      <c r="G96" s="7"/>
      <c r="H96" s="7"/>
      <c r="I96" s="7"/>
      <c r="J96" s="7"/>
      <c r="K96" s="7"/>
      <c r="L96" s="7"/>
      <c r="M96" s="7"/>
      <c r="N96" s="7"/>
      <c r="O96" s="7"/>
      <c r="P96" s="7"/>
      <c r="Q96" s="7"/>
      <c r="R96" s="7"/>
      <c r="S96" s="7"/>
      <c r="T96" s="7"/>
      <c r="U96" s="7"/>
      <c r="V96" s="7"/>
      <c r="W96" s="7"/>
      <c r="X96" s="7"/>
      <c r="Y96" s="7"/>
      <c r="Z96" s="7"/>
      <c r="AA96" s="8"/>
      <c r="AB96" s="8"/>
      <c r="AC96" s="8"/>
      <c r="AD96" s="8"/>
      <c r="AE96" s="594"/>
      <c r="DIC96" s="268" t="s">
        <v>19</v>
      </c>
    </row>
    <row r="97" spans="1:31" x14ac:dyDescent="0.3">
      <c r="A97" s="284"/>
      <c r="B97" s="284"/>
      <c r="C97" s="284"/>
      <c r="D97" s="7"/>
      <c r="E97" s="7"/>
      <c r="F97" s="7"/>
      <c r="G97" s="7"/>
      <c r="H97" s="7"/>
      <c r="I97" s="7"/>
      <c r="J97" s="7"/>
      <c r="K97" s="7"/>
      <c r="L97" s="7"/>
      <c r="M97" s="7"/>
      <c r="N97" s="7"/>
      <c r="O97" s="7"/>
      <c r="P97" s="7"/>
      <c r="Q97" s="7"/>
      <c r="R97" s="7"/>
      <c r="S97" s="7"/>
      <c r="T97" s="7"/>
      <c r="U97" s="7"/>
      <c r="V97" s="7"/>
      <c r="W97" s="7"/>
      <c r="X97" s="7"/>
      <c r="Y97" s="7"/>
      <c r="Z97" s="7"/>
      <c r="AA97" s="8"/>
      <c r="AB97" s="8"/>
      <c r="AC97" s="8"/>
      <c r="AD97" s="8"/>
      <c r="AE97" s="594"/>
    </row>
    <row r="98" spans="1:31" x14ac:dyDescent="0.3">
      <c r="A98" s="284"/>
      <c r="B98" s="284"/>
      <c r="C98" s="284"/>
      <c r="D98" s="7"/>
      <c r="E98" s="7"/>
      <c r="F98" s="7"/>
      <c r="G98" s="7"/>
      <c r="H98" s="7"/>
      <c r="I98" s="7"/>
      <c r="J98" s="7"/>
      <c r="K98" s="7"/>
      <c r="L98" s="7"/>
      <c r="M98" s="7"/>
      <c r="N98" s="7"/>
      <c r="O98" s="7"/>
      <c r="P98" s="7"/>
      <c r="Q98" s="7"/>
      <c r="R98" s="7"/>
      <c r="S98" s="7"/>
      <c r="T98" s="7"/>
      <c r="U98" s="7"/>
      <c r="V98" s="7"/>
      <c r="W98" s="7"/>
      <c r="X98" s="7"/>
      <c r="Y98" s="7"/>
      <c r="Z98" s="7"/>
      <c r="AA98" s="8"/>
      <c r="AB98" s="8"/>
      <c r="AC98" s="8"/>
      <c r="AD98" s="8"/>
      <c r="AE98" s="594"/>
    </row>
    <row r="99" spans="1:31" x14ac:dyDescent="0.3">
      <c r="A99" s="284"/>
      <c r="B99" s="284"/>
      <c r="C99" s="284"/>
      <c r="D99" s="7"/>
      <c r="E99" s="7"/>
      <c r="F99" s="7"/>
      <c r="G99" s="7"/>
      <c r="H99" s="7"/>
      <c r="I99" s="7"/>
      <c r="J99" s="7"/>
      <c r="K99" s="7"/>
      <c r="L99" s="7"/>
      <c r="M99" s="7"/>
      <c r="N99" s="7"/>
      <c r="O99" s="7"/>
      <c r="P99" s="7"/>
      <c r="Q99" s="7"/>
      <c r="R99" s="7"/>
      <c r="S99" s="7"/>
      <c r="T99" s="7"/>
      <c r="U99" s="7"/>
      <c r="V99" s="7"/>
      <c r="W99" s="7"/>
      <c r="X99" s="7"/>
      <c r="Y99" s="7"/>
      <c r="Z99" s="7"/>
      <c r="AA99" s="8"/>
      <c r="AB99" s="8"/>
      <c r="AC99" s="8"/>
      <c r="AD99" s="8"/>
      <c r="AE99" s="594"/>
    </row>
    <row r="100" spans="1:31" x14ac:dyDescent="0.3">
      <c r="A100" s="284"/>
      <c r="B100" s="284"/>
      <c r="C100" s="284"/>
      <c r="D100" s="7"/>
      <c r="E100" s="7"/>
      <c r="F100" s="7"/>
      <c r="G100" s="7"/>
      <c r="H100" s="7"/>
      <c r="I100" s="7"/>
      <c r="J100" s="7"/>
      <c r="K100" s="7"/>
      <c r="L100" s="7"/>
      <c r="M100" s="7"/>
      <c r="N100" s="7"/>
      <c r="O100" s="7"/>
      <c r="P100" s="7"/>
      <c r="Q100" s="7"/>
      <c r="R100" s="7"/>
      <c r="S100" s="7"/>
      <c r="T100" s="7"/>
      <c r="U100" s="7"/>
      <c r="V100" s="7"/>
      <c r="W100" s="7"/>
      <c r="X100" s="7"/>
      <c r="Y100" s="7"/>
      <c r="Z100" s="7"/>
      <c r="AA100" s="8"/>
      <c r="AB100" s="8"/>
      <c r="AC100" s="8"/>
      <c r="AD100" s="8"/>
      <c r="AE100" s="594"/>
    </row>
    <row r="101" spans="1:31" x14ac:dyDescent="0.3">
      <c r="A101" s="284"/>
      <c r="B101" s="284"/>
      <c r="C101" s="284"/>
      <c r="D101" s="7"/>
      <c r="E101" s="7"/>
      <c r="F101" s="7"/>
      <c r="G101" s="7"/>
      <c r="H101" s="7"/>
      <c r="I101" s="7"/>
      <c r="J101" s="7"/>
      <c r="K101" s="7"/>
      <c r="L101" s="7"/>
      <c r="M101" s="7"/>
      <c r="N101" s="7"/>
      <c r="O101" s="7"/>
      <c r="P101" s="7"/>
      <c r="Q101" s="7"/>
      <c r="R101" s="7"/>
      <c r="S101" s="7"/>
      <c r="T101" s="7"/>
      <c r="U101" s="7"/>
      <c r="V101" s="7"/>
      <c r="W101" s="7"/>
      <c r="X101" s="7"/>
      <c r="Y101" s="7"/>
      <c r="Z101" s="7"/>
      <c r="AA101" s="8"/>
      <c r="AB101" s="8"/>
      <c r="AC101" s="8"/>
      <c r="AD101" s="8"/>
      <c r="AE101" s="594"/>
    </row>
    <row r="102" spans="1:31" x14ac:dyDescent="0.3">
      <c r="A102" s="284"/>
      <c r="B102" s="284"/>
      <c r="C102" s="284"/>
      <c r="D102" s="7"/>
      <c r="E102" s="7"/>
      <c r="F102" s="7"/>
      <c r="G102" s="7"/>
      <c r="H102" s="7"/>
      <c r="I102" s="7"/>
      <c r="J102" s="7"/>
      <c r="K102" s="7"/>
      <c r="L102" s="7"/>
      <c r="M102" s="7"/>
      <c r="N102" s="7"/>
      <c r="O102" s="7"/>
      <c r="P102" s="7"/>
      <c r="Q102" s="7"/>
      <c r="R102" s="7"/>
      <c r="S102" s="7"/>
      <c r="T102" s="7"/>
      <c r="U102" s="7"/>
      <c r="V102" s="7"/>
      <c r="W102" s="7"/>
      <c r="X102" s="7"/>
      <c r="Y102" s="7"/>
      <c r="Z102" s="7"/>
      <c r="AA102" s="8"/>
      <c r="AB102" s="8"/>
      <c r="AC102" s="8"/>
      <c r="AD102" s="8"/>
      <c r="AE102" s="594"/>
    </row>
    <row r="103" spans="1:31" x14ac:dyDescent="0.3">
      <c r="A103" s="284"/>
      <c r="B103" s="284"/>
      <c r="C103" s="284"/>
      <c r="D103" s="7"/>
      <c r="E103" s="7"/>
      <c r="F103" s="7"/>
      <c r="G103" s="7"/>
      <c r="H103" s="7"/>
      <c r="I103" s="7"/>
      <c r="J103" s="7"/>
      <c r="K103" s="7"/>
      <c r="L103" s="7"/>
      <c r="M103" s="7"/>
      <c r="N103" s="7"/>
      <c r="O103" s="7"/>
      <c r="P103" s="7"/>
      <c r="Q103" s="7"/>
      <c r="R103" s="7"/>
      <c r="S103" s="7"/>
      <c r="T103" s="7"/>
      <c r="U103" s="7"/>
      <c r="V103" s="7"/>
      <c r="W103" s="7"/>
      <c r="X103" s="7"/>
      <c r="Y103" s="7"/>
      <c r="Z103" s="7"/>
      <c r="AA103" s="8"/>
      <c r="AB103" s="8"/>
      <c r="AC103" s="8"/>
      <c r="AD103" s="8"/>
      <c r="AE103" s="594"/>
    </row>
    <row r="104" spans="1:31" x14ac:dyDescent="0.3">
      <c r="A104" s="284"/>
      <c r="B104" s="284"/>
      <c r="C104" s="284"/>
      <c r="D104" s="7"/>
      <c r="E104" s="7"/>
      <c r="F104" s="7"/>
      <c r="G104" s="7"/>
      <c r="H104" s="7"/>
      <c r="I104" s="7"/>
      <c r="J104" s="7"/>
      <c r="K104" s="7"/>
      <c r="L104" s="7"/>
      <c r="M104" s="7"/>
      <c r="N104" s="7"/>
      <c r="O104" s="7"/>
      <c r="P104" s="7"/>
      <c r="Q104" s="7"/>
      <c r="R104" s="7"/>
      <c r="S104" s="7"/>
      <c r="T104" s="7"/>
      <c r="U104" s="7"/>
      <c r="V104" s="7"/>
      <c r="W104" s="7"/>
      <c r="X104" s="7"/>
      <c r="Y104" s="7"/>
      <c r="Z104" s="7"/>
      <c r="AA104" s="8"/>
      <c r="AB104" s="8"/>
      <c r="AC104" s="8"/>
      <c r="AD104" s="8"/>
      <c r="AE104" s="594"/>
    </row>
    <row r="105" spans="1:31" x14ac:dyDescent="0.3">
      <c r="A105" s="284"/>
      <c r="B105" s="284"/>
      <c r="C105" s="284"/>
      <c r="D105" s="7"/>
      <c r="E105" s="7"/>
      <c r="F105" s="7"/>
      <c r="G105" s="7"/>
      <c r="H105" s="7"/>
      <c r="I105" s="7"/>
      <c r="J105" s="7"/>
      <c r="K105" s="7"/>
      <c r="L105" s="7"/>
      <c r="M105" s="7"/>
      <c r="N105" s="7"/>
      <c r="O105" s="7"/>
      <c r="P105" s="7"/>
      <c r="Q105" s="7"/>
      <c r="R105" s="7"/>
      <c r="S105" s="7"/>
      <c r="T105" s="7"/>
      <c r="U105" s="7"/>
      <c r="V105" s="7"/>
      <c r="W105" s="7"/>
      <c r="X105" s="7"/>
      <c r="Y105" s="7"/>
      <c r="Z105" s="7"/>
      <c r="AA105" s="8"/>
      <c r="AB105" s="8"/>
      <c r="AC105" s="8"/>
      <c r="AD105" s="8"/>
      <c r="AE105" s="594"/>
    </row>
    <row r="106" spans="1:31" x14ac:dyDescent="0.3">
      <c r="A106" s="284"/>
      <c r="B106" s="284"/>
      <c r="C106" s="284"/>
      <c r="D106" s="7"/>
      <c r="E106" s="7"/>
      <c r="F106" s="7"/>
      <c r="G106" s="7"/>
      <c r="H106" s="7"/>
      <c r="I106" s="7"/>
      <c r="J106" s="7"/>
      <c r="K106" s="7"/>
      <c r="L106" s="7"/>
      <c r="M106" s="7"/>
      <c r="N106" s="7"/>
      <c r="O106" s="7"/>
      <c r="P106" s="7"/>
      <c r="Q106" s="7"/>
      <c r="R106" s="7"/>
      <c r="S106" s="7"/>
      <c r="T106" s="7"/>
      <c r="U106" s="7"/>
      <c r="V106" s="7"/>
      <c r="W106" s="7"/>
      <c r="X106" s="7"/>
      <c r="Y106" s="7"/>
      <c r="Z106" s="7"/>
      <c r="AA106" s="8"/>
      <c r="AB106" s="8"/>
      <c r="AC106" s="8"/>
      <c r="AD106" s="8"/>
      <c r="AE106" s="594"/>
    </row>
    <row r="107" spans="1:31" x14ac:dyDescent="0.3">
      <c r="A107" s="284"/>
      <c r="B107" s="284"/>
      <c r="C107" s="284"/>
      <c r="D107" s="7"/>
      <c r="E107" s="7"/>
      <c r="F107" s="7"/>
      <c r="G107" s="7"/>
      <c r="H107" s="7"/>
      <c r="I107" s="7"/>
      <c r="J107" s="7"/>
      <c r="K107" s="7"/>
      <c r="L107" s="7"/>
      <c r="M107" s="7"/>
      <c r="N107" s="7"/>
      <c r="O107" s="7"/>
      <c r="P107" s="7"/>
      <c r="Q107" s="7"/>
      <c r="R107" s="7"/>
      <c r="S107" s="7"/>
      <c r="T107" s="7"/>
      <c r="U107" s="7"/>
      <c r="V107" s="7"/>
      <c r="W107" s="7"/>
      <c r="X107" s="7"/>
      <c r="Y107" s="7"/>
      <c r="Z107" s="7"/>
      <c r="AA107" s="8"/>
      <c r="AB107" s="8"/>
      <c r="AC107" s="8"/>
      <c r="AD107" s="8"/>
      <c r="AE107" s="594"/>
    </row>
    <row r="108" spans="1:31" x14ac:dyDescent="0.3">
      <c r="A108" s="284"/>
      <c r="B108" s="284"/>
      <c r="C108" s="284"/>
      <c r="D108" s="7"/>
      <c r="E108" s="7"/>
      <c r="F108" s="7"/>
      <c r="G108" s="7"/>
      <c r="H108" s="7"/>
      <c r="I108" s="7"/>
      <c r="J108" s="7"/>
      <c r="K108" s="7"/>
      <c r="L108" s="7"/>
      <c r="M108" s="7"/>
      <c r="N108" s="7"/>
      <c r="O108" s="7"/>
      <c r="P108" s="7"/>
      <c r="Q108" s="7"/>
      <c r="R108" s="7"/>
      <c r="S108" s="7"/>
      <c r="T108" s="7"/>
      <c r="U108" s="7"/>
      <c r="V108" s="7"/>
      <c r="W108" s="7"/>
      <c r="X108" s="7"/>
      <c r="Y108" s="7"/>
      <c r="Z108" s="7"/>
      <c r="AA108" s="8"/>
      <c r="AB108" s="8"/>
      <c r="AC108" s="8"/>
      <c r="AD108" s="8"/>
      <c r="AE108" s="594"/>
    </row>
    <row r="109" spans="1:31" x14ac:dyDescent="0.3">
      <c r="A109" s="284"/>
      <c r="B109" s="284"/>
      <c r="C109" s="284"/>
      <c r="D109" s="7"/>
      <c r="E109" s="7"/>
      <c r="F109" s="7"/>
      <c r="G109" s="7"/>
      <c r="H109" s="7"/>
      <c r="I109" s="7"/>
      <c r="J109" s="7"/>
      <c r="K109" s="7"/>
      <c r="L109" s="7"/>
      <c r="M109" s="7"/>
      <c r="N109" s="7"/>
      <c r="O109" s="7"/>
      <c r="P109" s="7"/>
      <c r="Q109" s="7"/>
      <c r="R109" s="7"/>
      <c r="S109" s="7"/>
      <c r="T109" s="7"/>
      <c r="U109" s="7"/>
      <c r="V109" s="7"/>
      <c r="W109" s="7"/>
      <c r="X109" s="7"/>
      <c r="Y109" s="7"/>
      <c r="Z109" s="7"/>
      <c r="AA109" s="8"/>
      <c r="AB109" s="8"/>
      <c r="AC109" s="8"/>
      <c r="AD109" s="8"/>
      <c r="AE109" s="594"/>
    </row>
    <row r="110" spans="1:31" x14ac:dyDescent="0.3">
      <c r="A110" s="284"/>
      <c r="B110" s="284"/>
      <c r="C110" s="284"/>
      <c r="D110" s="7"/>
      <c r="E110" s="7"/>
      <c r="F110" s="7"/>
      <c r="G110" s="7"/>
      <c r="H110" s="7"/>
      <c r="I110" s="7"/>
      <c r="J110" s="7"/>
      <c r="K110" s="7"/>
      <c r="L110" s="7"/>
      <c r="M110" s="7"/>
      <c r="N110" s="7"/>
      <c r="O110" s="7"/>
      <c r="P110" s="7"/>
      <c r="Q110" s="7"/>
      <c r="R110" s="7"/>
      <c r="S110" s="7"/>
      <c r="T110" s="7"/>
      <c r="U110" s="7"/>
      <c r="V110" s="7"/>
      <c r="W110" s="7"/>
      <c r="X110" s="7"/>
      <c r="Y110" s="7"/>
      <c r="Z110" s="7"/>
      <c r="AA110" s="8"/>
      <c r="AB110" s="8"/>
      <c r="AC110" s="8"/>
      <c r="AD110" s="8"/>
      <c r="AE110" s="594"/>
    </row>
    <row r="111" spans="1:31" x14ac:dyDescent="0.3">
      <c r="A111" s="284"/>
      <c r="B111" s="284"/>
      <c r="C111" s="284"/>
      <c r="D111" s="7"/>
      <c r="E111" s="7"/>
      <c r="F111" s="7"/>
      <c r="G111" s="7"/>
      <c r="H111" s="7"/>
      <c r="I111" s="7"/>
      <c r="J111" s="7"/>
      <c r="K111" s="7"/>
      <c r="L111" s="7"/>
      <c r="M111" s="7"/>
      <c r="N111" s="7"/>
      <c r="O111" s="7"/>
      <c r="P111" s="7"/>
      <c r="Q111" s="7"/>
      <c r="R111" s="7"/>
      <c r="S111" s="7"/>
      <c r="T111" s="7"/>
      <c r="U111" s="7"/>
      <c r="V111" s="7"/>
      <c r="W111" s="7"/>
      <c r="X111" s="7"/>
      <c r="Y111" s="7"/>
      <c r="Z111" s="7"/>
      <c r="AA111" s="8"/>
      <c r="AB111" s="8"/>
      <c r="AC111" s="8"/>
      <c r="AD111" s="8"/>
      <c r="AE111" s="594"/>
    </row>
    <row r="112" spans="1:31" x14ac:dyDescent="0.3">
      <c r="A112" s="284"/>
      <c r="B112" s="284"/>
      <c r="C112" s="284"/>
      <c r="D112" s="7"/>
      <c r="E112" s="7"/>
      <c r="F112" s="7"/>
      <c r="G112" s="7"/>
      <c r="H112" s="7"/>
      <c r="I112" s="7"/>
      <c r="J112" s="7"/>
      <c r="K112" s="7"/>
      <c r="L112" s="7"/>
      <c r="M112" s="7"/>
      <c r="N112" s="7"/>
      <c r="O112" s="7"/>
      <c r="P112" s="7"/>
      <c r="Q112" s="7"/>
      <c r="R112" s="7"/>
      <c r="S112" s="7"/>
      <c r="T112" s="7"/>
      <c r="U112" s="7"/>
      <c r="V112" s="7"/>
      <c r="W112" s="7"/>
      <c r="X112" s="7"/>
      <c r="Y112" s="7"/>
      <c r="Z112" s="7"/>
      <c r="AA112" s="8"/>
      <c r="AB112" s="8"/>
      <c r="AC112" s="8"/>
      <c r="AD112" s="8"/>
      <c r="AE112" s="594"/>
    </row>
    <row r="113" spans="1:78" x14ac:dyDescent="0.3">
      <c r="A113" s="284"/>
      <c r="B113" s="284"/>
      <c r="C113" s="284"/>
      <c r="D113" s="7"/>
      <c r="E113" s="7"/>
      <c r="F113" s="7"/>
      <c r="G113" s="7"/>
      <c r="H113" s="7"/>
      <c r="I113" s="7"/>
      <c r="J113" s="7"/>
      <c r="K113" s="7"/>
      <c r="L113" s="7"/>
      <c r="M113" s="7"/>
      <c r="N113" s="7"/>
      <c r="O113" s="7"/>
      <c r="P113" s="7"/>
      <c r="Q113" s="7"/>
      <c r="R113" s="7"/>
      <c r="S113" s="7"/>
      <c r="T113" s="7"/>
      <c r="U113" s="7"/>
      <c r="V113" s="7"/>
      <c r="W113" s="7"/>
      <c r="X113" s="7"/>
      <c r="Y113" s="7"/>
      <c r="Z113" s="7"/>
      <c r="AA113" s="8"/>
      <c r="AB113" s="8"/>
      <c r="AC113" s="8"/>
      <c r="AD113" s="8"/>
      <c r="AE113" s="594"/>
    </row>
    <row r="114" spans="1:78" x14ac:dyDescent="0.3">
      <c r="A114" s="284"/>
      <c r="B114" s="284"/>
      <c r="C114" s="284"/>
      <c r="D114" s="7"/>
      <c r="E114" s="7"/>
      <c r="F114" s="7"/>
      <c r="G114" s="7"/>
      <c r="H114" s="7"/>
      <c r="I114" s="7"/>
      <c r="J114" s="7"/>
      <c r="K114" s="7"/>
      <c r="L114" s="7"/>
      <c r="M114" s="7"/>
      <c r="N114" s="7"/>
      <c r="O114" s="7"/>
      <c r="P114" s="7"/>
      <c r="Q114" s="7"/>
      <c r="R114" s="7"/>
      <c r="S114" s="7"/>
      <c r="T114" s="7"/>
      <c r="U114" s="7"/>
      <c r="V114" s="7"/>
      <c r="W114" s="7"/>
      <c r="X114" s="7"/>
      <c r="Y114" s="7"/>
      <c r="Z114" s="7"/>
      <c r="AA114" s="8"/>
      <c r="AB114" s="8"/>
      <c r="AC114" s="8"/>
      <c r="AD114" s="8"/>
      <c r="AE114" s="594"/>
    </row>
    <row r="115" spans="1:78" x14ac:dyDescent="0.3">
      <c r="A115" s="284"/>
      <c r="B115" s="284"/>
      <c r="C115" s="284"/>
      <c r="D115" s="7"/>
      <c r="E115" s="7"/>
      <c r="F115" s="7"/>
      <c r="G115" s="7"/>
      <c r="H115" s="7"/>
      <c r="I115" s="7"/>
      <c r="J115" s="7"/>
      <c r="K115" s="7"/>
      <c r="L115" s="7"/>
      <c r="M115" s="7"/>
      <c r="N115" s="7"/>
      <c r="O115" s="7"/>
      <c r="P115" s="7"/>
      <c r="Q115" s="7"/>
      <c r="R115" s="7"/>
      <c r="S115" s="7"/>
      <c r="T115" s="7"/>
      <c r="U115" s="7"/>
      <c r="V115" s="7"/>
      <c r="W115" s="7"/>
      <c r="X115" s="7"/>
      <c r="Y115" s="7"/>
      <c r="Z115" s="7"/>
      <c r="AA115" s="8"/>
      <c r="AB115" s="8"/>
      <c r="AC115" s="8"/>
      <c r="AD115" s="8"/>
      <c r="AE115" s="594"/>
    </row>
    <row r="116" spans="1:78" x14ac:dyDescent="0.3">
      <c r="A116" s="284"/>
      <c r="B116" s="284"/>
      <c r="C116" s="284"/>
      <c r="D116" s="7"/>
      <c r="E116" s="7"/>
      <c r="F116" s="7"/>
      <c r="G116" s="7"/>
      <c r="H116" s="7"/>
      <c r="I116" s="7"/>
      <c r="J116" s="7"/>
      <c r="K116" s="7"/>
      <c r="L116" s="7"/>
      <c r="M116" s="7"/>
      <c r="N116" s="7"/>
      <c r="O116" s="7"/>
      <c r="P116" s="7"/>
      <c r="Q116" s="7"/>
      <c r="R116" s="7"/>
      <c r="S116" s="7"/>
      <c r="T116" s="7"/>
      <c r="U116" s="7"/>
      <c r="V116" s="7"/>
      <c r="W116" s="7"/>
      <c r="X116" s="7"/>
      <c r="Y116" s="7"/>
      <c r="Z116" s="7"/>
      <c r="AA116" s="8"/>
      <c r="AB116" s="8"/>
      <c r="AC116" s="8"/>
      <c r="AD116" s="8"/>
      <c r="AE116" s="594"/>
    </row>
    <row r="117" spans="1:78" x14ac:dyDescent="0.3">
      <c r="A117" s="284"/>
      <c r="B117" s="284"/>
      <c r="C117" s="284"/>
      <c r="D117" s="7"/>
      <c r="E117" s="7"/>
      <c r="F117" s="7"/>
      <c r="G117" s="7"/>
      <c r="H117" s="7"/>
      <c r="I117" s="7"/>
      <c r="J117" s="7"/>
      <c r="K117" s="7"/>
      <c r="L117" s="7"/>
      <c r="M117" s="7"/>
      <c r="N117" s="7"/>
      <c r="O117" s="7"/>
      <c r="P117" s="7"/>
      <c r="Q117" s="7"/>
      <c r="R117" s="7"/>
      <c r="S117" s="7"/>
      <c r="T117" s="7"/>
      <c r="U117" s="7"/>
      <c r="V117" s="7"/>
      <c r="W117" s="7"/>
      <c r="X117" s="7"/>
      <c r="Y117" s="7"/>
      <c r="Z117" s="7"/>
      <c r="AA117" s="8"/>
      <c r="AB117" s="8"/>
      <c r="AC117" s="8"/>
      <c r="AD117" s="8"/>
      <c r="AE117" s="594"/>
    </row>
    <row r="118" spans="1:78" x14ac:dyDescent="0.3">
      <c r="A118" s="284"/>
      <c r="B118" s="284"/>
      <c r="C118" s="284"/>
      <c r="D118" s="7"/>
      <c r="E118" s="7"/>
      <c r="F118" s="7"/>
      <c r="G118" s="7"/>
      <c r="H118" s="7"/>
      <c r="I118" s="7"/>
      <c r="J118" s="7"/>
      <c r="K118" s="7"/>
      <c r="L118" s="7"/>
      <c r="M118" s="7"/>
      <c r="N118" s="7"/>
      <c r="O118" s="7"/>
      <c r="P118" s="7"/>
      <c r="Q118" s="7"/>
      <c r="R118" s="7"/>
      <c r="S118" s="7"/>
      <c r="T118" s="7"/>
      <c r="U118" s="7"/>
      <c r="V118" s="7"/>
      <c r="W118" s="7"/>
      <c r="X118" s="7"/>
      <c r="Y118" s="7"/>
      <c r="Z118" s="7"/>
      <c r="AA118" s="8"/>
      <c r="AB118" s="8"/>
      <c r="AC118" s="8"/>
      <c r="AD118" s="8"/>
      <c r="AE118" s="594"/>
    </row>
    <row r="119" spans="1:78" x14ac:dyDescent="0.3">
      <c r="A119" s="284"/>
      <c r="B119" s="284"/>
      <c r="C119" s="284"/>
      <c r="D119" s="7"/>
      <c r="E119" s="7"/>
      <c r="F119" s="7"/>
      <c r="G119" s="7"/>
      <c r="H119" s="7"/>
      <c r="I119" s="7"/>
      <c r="J119" s="7"/>
      <c r="K119" s="7"/>
      <c r="L119" s="7"/>
      <c r="M119" s="7"/>
      <c r="N119" s="7"/>
      <c r="O119" s="7"/>
      <c r="P119" s="7"/>
      <c r="Q119" s="7"/>
      <c r="R119" s="7"/>
      <c r="S119" s="7"/>
      <c r="T119" s="7"/>
      <c r="U119" s="7"/>
      <c r="V119" s="7"/>
      <c r="W119" s="7"/>
      <c r="X119" s="7"/>
      <c r="Y119" s="7"/>
      <c r="Z119" s="7"/>
      <c r="AA119" s="8"/>
      <c r="AB119" s="8"/>
      <c r="AC119" s="8"/>
      <c r="AD119" s="8"/>
      <c r="AE119" s="594"/>
    </row>
    <row r="120" spans="1:78" x14ac:dyDescent="0.3">
      <c r="A120" s="284"/>
      <c r="B120" s="284"/>
      <c r="C120" s="284"/>
      <c r="D120" s="7"/>
      <c r="E120" s="7"/>
      <c r="F120" s="7"/>
      <c r="G120" s="7"/>
      <c r="H120" s="7"/>
      <c r="I120" s="7"/>
      <c r="J120" s="7"/>
      <c r="K120" s="7"/>
      <c r="L120" s="7"/>
      <c r="M120" s="7"/>
      <c r="N120" s="7"/>
      <c r="O120" s="7"/>
      <c r="P120" s="7"/>
      <c r="Q120" s="7"/>
      <c r="R120" s="7"/>
      <c r="S120" s="7"/>
      <c r="T120" s="7"/>
      <c r="U120" s="7"/>
      <c r="V120" s="7"/>
      <c r="W120" s="7"/>
      <c r="X120" s="7"/>
      <c r="Y120" s="7"/>
      <c r="Z120" s="7"/>
      <c r="AA120" s="8"/>
      <c r="AB120" s="8"/>
      <c r="AC120" s="8"/>
      <c r="AD120" s="8"/>
      <c r="AE120" s="594"/>
    </row>
    <row r="121" spans="1:78" x14ac:dyDescent="0.3">
      <c r="A121" s="284"/>
      <c r="B121" s="284"/>
      <c r="C121" s="284"/>
      <c r="D121" s="7"/>
      <c r="E121" s="7"/>
      <c r="F121" s="7"/>
      <c r="G121" s="7"/>
      <c r="H121" s="7"/>
      <c r="I121" s="7"/>
      <c r="J121" s="7"/>
      <c r="K121" s="7"/>
      <c r="L121" s="7"/>
      <c r="M121" s="7"/>
      <c r="N121" s="7"/>
      <c r="O121" s="7"/>
      <c r="P121" s="7"/>
      <c r="Q121" s="7"/>
      <c r="R121" s="7"/>
      <c r="S121" s="7"/>
      <c r="T121" s="7"/>
      <c r="U121" s="7"/>
      <c r="V121" s="7"/>
      <c r="W121" s="7"/>
      <c r="X121" s="7"/>
      <c r="Y121" s="7"/>
      <c r="Z121" s="7"/>
      <c r="AA121" s="8"/>
      <c r="AB121" s="8"/>
      <c r="AC121" s="8"/>
      <c r="AD121" s="8"/>
      <c r="AE121" s="594"/>
    </row>
    <row r="122" spans="1:78" x14ac:dyDescent="0.3">
      <c r="A122" s="284"/>
      <c r="B122" s="284"/>
      <c r="C122" s="284"/>
      <c r="D122" s="7"/>
      <c r="E122" s="7"/>
      <c r="F122" s="7"/>
      <c r="G122" s="7"/>
      <c r="H122" s="7"/>
      <c r="I122" s="7"/>
      <c r="J122" s="7"/>
      <c r="K122" s="7"/>
      <c r="L122" s="7"/>
      <c r="M122" s="7"/>
      <c r="N122" s="7"/>
      <c r="O122" s="7"/>
      <c r="P122" s="7"/>
      <c r="Q122" s="7"/>
      <c r="R122" s="7"/>
      <c r="S122" s="7"/>
      <c r="T122" s="7"/>
      <c r="U122" s="7"/>
      <c r="V122" s="7"/>
      <c r="W122" s="7"/>
      <c r="X122" s="7"/>
      <c r="Y122" s="7"/>
      <c r="Z122" s="7"/>
      <c r="AA122" s="8"/>
      <c r="AB122" s="8"/>
      <c r="AC122" s="8"/>
      <c r="AD122" s="8"/>
      <c r="AE122" s="594"/>
    </row>
    <row r="123" spans="1:78" x14ac:dyDescent="0.3">
      <c r="A123" s="284"/>
      <c r="B123" s="284"/>
      <c r="C123" s="284"/>
      <c r="D123" s="7"/>
      <c r="E123" s="7"/>
      <c r="F123" s="7"/>
      <c r="G123" s="7"/>
      <c r="H123" s="7"/>
      <c r="I123" s="7"/>
      <c r="J123" s="7"/>
      <c r="K123" s="7"/>
      <c r="L123" s="7"/>
      <c r="M123" s="7"/>
      <c r="N123" s="7"/>
      <c r="O123" s="7"/>
      <c r="P123" s="7"/>
      <c r="Q123" s="7"/>
      <c r="R123" s="7"/>
      <c r="S123" s="7"/>
      <c r="T123" s="7"/>
      <c r="U123" s="7"/>
      <c r="V123" s="7"/>
      <c r="W123" s="7"/>
      <c r="X123" s="7"/>
      <c r="Y123" s="7"/>
      <c r="Z123" s="7"/>
      <c r="AA123" s="8"/>
      <c r="AB123" s="8"/>
      <c r="AC123" s="8"/>
      <c r="AD123" s="8"/>
      <c r="AE123" s="594"/>
      <c r="BW123" s="293"/>
      <c r="BX123" s="293"/>
      <c r="BY123" s="293"/>
      <c r="BZ123" s="293"/>
    </row>
    <row r="124" spans="1:78" x14ac:dyDescent="0.3">
      <c r="A124" s="284"/>
      <c r="B124" s="284"/>
      <c r="C124" s="284"/>
      <c r="D124" s="7"/>
      <c r="E124" s="7"/>
      <c r="F124" s="7"/>
      <c r="G124" s="7"/>
      <c r="H124" s="7"/>
      <c r="I124" s="7"/>
      <c r="J124" s="7"/>
      <c r="K124" s="7"/>
      <c r="L124" s="7"/>
      <c r="M124" s="7"/>
      <c r="N124" s="7"/>
      <c r="O124" s="7"/>
      <c r="P124" s="7"/>
      <c r="Q124" s="7"/>
      <c r="R124" s="7"/>
      <c r="S124" s="7"/>
      <c r="T124" s="7"/>
      <c r="U124" s="7"/>
      <c r="V124" s="7"/>
      <c r="W124" s="7"/>
      <c r="X124" s="7"/>
      <c r="Y124" s="7"/>
      <c r="Z124" s="7"/>
      <c r="AA124" s="8"/>
      <c r="AB124" s="8"/>
      <c r="AC124" s="8"/>
      <c r="AD124" s="8"/>
      <c r="AE124" s="594"/>
      <c r="BX124" s="595"/>
    </row>
    <row r="125" spans="1:78" x14ac:dyDescent="0.3">
      <c r="A125" s="284"/>
      <c r="B125" s="284"/>
      <c r="C125" s="284"/>
      <c r="D125" s="7"/>
      <c r="E125" s="7"/>
      <c r="F125" s="7"/>
      <c r="G125" s="7"/>
      <c r="H125" s="7"/>
      <c r="I125" s="7"/>
      <c r="J125" s="7"/>
      <c r="K125" s="7"/>
      <c r="L125" s="7"/>
      <c r="M125" s="7"/>
      <c r="N125" s="7"/>
      <c r="O125" s="7"/>
      <c r="P125" s="7"/>
      <c r="Q125" s="7"/>
      <c r="R125" s="7"/>
      <c r="S125" s="7"/>
      <c r="T125" s="7"/>
      <c r="U125" s="7"/>
      <c r="V125" s="7"/>
      <c r="W125" s="7"/>
      <c r="X125" s="7"/>
      <c r="Y125" s="7"/>
      <c r="Z125" s="7"/>
      <c r="AA125" s="8"/>
      <c r="AB125" s="8"/>
      <c r="AC125" s="8"/>
      <c r="AD125" s="8"/>
      <c r="AE125" s="594"/>
      <c r="BX125" s="595"/>
    </row>
    <row r="126" spans="1:78" x14ac:dyDescent="0.3">
      <c r="A126" s="284"/>
      <c r="B126" s="284"/>
      <c r="C126" s="284"/>
      <c r="D126" s="7"/>
      <c r="E126" s="7"/>
      <c r="F126" s="7"/>
      <c r="G126" s="7"/>
      <c r="H126" s="7"/>
      <c r="I126" s="7"/>
      <c r="J126" s="7"/>
      <c r="K126" s="7"/>
      <c r="L126" s="7"/>
      <c r="M126" s="7"/>
      <c r="N126" s="7"/>
      <c r="O126" s="7"/>
      <c r="P126" s="7"/>
      <c r="Q126" s="7"/>
      <c r="R126" s="7"/>
      <c r="S126" s="7"/>
      <c r="T126" s="7"/>
      <c r="U126" s="7"/>
      <c r="V126" s="7"/>
      <c r="W126" s="7"/>
      <c r="X126" s="7"/>
      <c r="Y126" s="7"/>
      <c r="Z126" s="7"/>
      <c r="AA126" s="8"/>
      <c r="AB126" s="8"/>
      <c r="AC126" s="8"/>
      <c r="AD126" s="8"/>
      <c r="AE126" s="594"/>
      <c r="BX126" s="595"/>
    </row>
    <row r="127" spans="1:78" x14ac:dyDescent="0.3">
      <c r="A127" s="284"/>
      <c r="B127" s="284"/>
      <c r="C127" s="284"/>
      <c r="D127" s="7"/>
      <c r="E127" s="7"/>
      <c r="F127" s="7"/>
      <c r="G127" s="7"/>
      <c r="H127" s="7"/>
      <c r="I127" s="7"/>
      <c r="J127" s="7"/>
      <c r="K127" s="7"/>
      <c r="L127" s="7"/>
      <c r="M127" s="7"/>
      <c r="N127" s="7"/>
      <c r="O127" s="7"/>
      <c r="P127" s="7"/>
      <c r="Q127" s="7"/>
      <c r="R127" s="7"/>
      <c r="S127" s="7"/>
      <c r="T127" s="7"/>
      <c r="U127" s="7"/>
      <c r="V127" s="7"/>
      <c r="W127" s="7"/>
      <c r="X127" s="7"/>
      <c r="Y127" s="7"/>
      <c r="Z127" s="7"/>
      <c r="AA127" s="8"/>
      <c r="AB127" s="8"/>
      <c r="AC127" s="8"/>
      <c r="AD127" s="8"/>
      <c r="AE127" s="594"/>
      <c r="BX127" s="595"/>
    </row>
    <row r="128" spans="1:78" x14ac:dyDescent="0.3">
      <c r="A128" s="284"/>
      <c r="B128" s="284"/>
      <c r="C128" s="284"/>
      <c r="D128" s="7"/>
      <c r="E128" s="7"/>
      <c r="F128" s="7"/>
      <c r="G128" s="7"/>
      <c r="H128" s="7"/>
      <c r="I128" s="7"/>
      <c r="J128" s="7"/>
      <c r="K128" s="7"/>
      <c r="L128" s="7"/>
      <c r="M128" s="7"/>
      <c r="N128" s="7"/>
      <c r="O128" s="7"/>
      <c r="P128" s="7"/>
      <c r="Q128" s="7"/>
      <c r="R128" s="7"/>
      <c r="S128" s="7"/>
      <c r="T128" s="7"/>
      <c r="U128" s="7"/>
      <c r="V128" s="7"/>
      <c r="W128" s="7"/>
      <c r="X128" s="7"/>
      <c r="Y128" s="7"/>
      <c r="Z128" s="7"/>
      <c r="AA128" s="8"/>
      <c r="AB128" s="8"/>
      <c r="AC128" s="8"/>
      <c r="AD128" s="8"/>
      <c r="AE128" s="594"/>
      <c r="BX128" s="595"/>
    </row>
    <row r="129" spans="1:78" x14ac:dyDescent="0.3">
      <c r="A129" s="284"/>
      <c r="B129" s="284"/>
      <c r="C129" s="284"/>
      <c r="D129" s="7"/>
      <c r="E129" s="7"/>
      <c r="F129" s="7"/>
      <c r="G129" s="7"/>
      <c r="H129" s="7"/>
      <c r="I129" s="7"/>
      <c r="J129" s="7"/>
      <c r="K129" s="7"/>
      <c r="L129" s="7"/>
      <c r="M129" s="7"/>
      <c r="N129" s="7"/>
      <c r="O129" s="7"/>
      <c r="P129" s="7"/>
      <c r="Q129" s="7"/>
      <c r="R129" s="7"/>
      <c r="S129" s="7"/>
      <c r="T129" s="7"/>
      <c r="U129" s="7"/>
      <c r="V129" s="7"/>
      <c r="W129" s="7"/>
      <c r="X129" s="7"/>
      <c r="Y129" s="7"/>
      <c r="Z129" s="7"/>
      <c r="AA129" s="8"/>
      <c r="AB129" s="8"/>
      <c r="AC129" s="8"/>
      <c r="AD129" s="8"/>
      <c r="AE129" s="594"/>
      <c r="BX129" s="595"/>
    </row>
    <row r="130" spans="1:78" x14ac:dyDescent="0.3">
      <c r="A130" s="284"/>
      <c r="B130" s="284"/>
      <c r="C130" s="284"/>
      <c r="D130" s="7"/>
      <c r="E130" s="7"/>
      <c r="F130" s="7"/>
      <c r="G130" s="7"/>
      <c r="H130" s="7"/>
      <c r="I130" s="7"/>
      <c r="J130" s="7"/>
      <c r="K130" s="7"/>
      <c r="L130" s="7"/>
      <c r="M130" s="7"/>
      <c r="N130" s="7"/>
      <c r="O130" s="7"/>
      <c r="P130" s="7"/>
      <c r="Q130" s="7"/>
      <c r="R130" s="7"/>
      <c r="S130" s="7"/>
      <c r="T130" s="7"/>
      <c r="U130" s="7"/>
      <c r="V130" s="7"/>
      <c r="W130" s="7"/>
      <c r="X130" s="7"/>
      <c r="Y130" s="7"/>
      <c r="Z130" s="7"/>
      <c r="AA130" s="8"/>
      <c r="AB130" s="8"/>
      <c r="AC130" s="8"/>
      <c r="AD130" s="8"/>
      <c r="AE130" s="594"/>
    </row>
    <row r="131" spans="1:78" x14ac:dyDescent="0.3">
      <c r="A131" s="284"/>
      <c r="B131" s="284"/>
      <c r="C131" s="284"/>
      <c r="D131" s="7"/>
      <c r="E131" s="7"/>
      <c r="F131" s="7"/>
      <c r="G131" s="7"/>
      <c r="H131" s="7"/>
      <c r="I131" s="7"/>
      <c r="J131" s="7"/>
      <c r="K131" s="7"/>
      <c r="L131" s="7"/>
      <c r="M131" s="7"/>
      <c r="N131" s="7"/>
      <c r="O131" s="7"/>
      <c r="P131" s="7"/>
      <c r="Q131" s="7"/>
      <c r="R131" s="7"/>
      <c r="S131" s="7"/>
      <c r="T131" s="7"/>
      <c r="U131" s="7"/>
      <c r="V131" s="7"/>
      <c r="W131" s="7"/>
      <c r="X131" s="7"/>
      <c r="Y131" s="7"/>
      <c r="Z131" s="7"/>
      <c r="AA131" s="8"/>
      <c r="AB131" s="8"/>
      <c r="AC131" s="8"/>
      <c r="AD131" s="8"/>
      <c r="AE131" s="594"/>
      <c r="BW131" s="293"/>
      <c r="BX131" s="293"/>
      <c r="BY131" s="293"/>
      <c r="BZ131" s="293"/>
    </row>
    <row r="132" spans="1:78" x14ac:dyDescent="0.3">
      <c r="A132" s="284"/>
      <c r="B132" s="284"/>
      <c r="C132" s="284"/>
      <c r="D132" s="7"/>
      <c r="E132" s="7"/>
      <c r="F132" s="7"/>
      <c r="G132" s="7"/>
      <c r="H132" s="7"/>
      <c r="I132" s="7"/>
      <c r="J132" s="7"/>
      <c r="K132" s="7"/>
      <c r="L132" s="7"/>
      <c r="M132" s="7"/>
      <c r="N132" s="7"/>
      <c r="O132" s="7"/>
      <c r="P132" s="7"/>
      <c r="Q132" s="7"/>
      <c r="R132" s="7"/>
      <c r="S132" s="7"/>
      <c r="T132" s="7"/>
      <c r="U132" s="7"/>
      <c r="V132" s="7"/>
      <c r="W132" s="7"/>
      <c r="X132" s="7"/>
      <c r="Y132" s="7"/>
      <c r="Z132" s="7"/>
      <c r="AA132" s="8"/>
      <c r="AB132" s="8"/>
      <c r="AC132" s="8"/>
      <c r="AD132" s="8"/>
      <c r="AE132" s="594"/>
      <c r="BX132" s="595"/>
    </row>
    <row r="133" spans="1:78" x14ac:dyDescent="0.3">
      <c r="A133" s="284"/>
      <c r="B133" s="284"/>
      <c r="C133" s="284"/>
      <c r="D133" s="7"/>
      <c r="E133" s="7"/>
      <c r="F133" s="7"/>
      <c r="G133" s="7"/>
      <c r="H133" s="7"/>
      <c r="I133" s="7"/>
      <c r="J133" s="7"/>
      <c r="K133" s="7"/>
      <c r="L133" s="7"/>
      <c r="M133" s="7"/>
      <c r="N133" s="7"/>
      <c r="O133" s="7"/>
      <c r="P133" s="7"/>
      <c r="Q133" s="7"/>
      <c r="R133" s="7"/>
      <c r="S133" s="7"/>
      <c r="T133" s="7"/>
      <c r="U133" s="7"/>
      <c r="V133" s="7"/>
      <c r="W133" s="7"/>
      <c r="X133" s="7"/>
      <c r="Y133" s="7"/>
      <c r="Z133" s="7"/>
      <c r="AA133" s="8"/>
      <c r="AB133" s="8"/>
      <c r="AC133" s="8"/>
      <c r="AD133" s="8"/>
      <c r="AE133" s="594"/>
      <c r="BX133" s="595"/>
    </row>
    <row r="134" spans="1:78" x14ac:dyDescent="0.3">
      <c r="A134" s="284"/>
      <c r="B134" s="284"/>
      <c r="C134" s="284"/>
      <c r="D134" s="7"/>
      <c r="E134" s="7"/>
      <c r="F134" s="7"/>
      <c r="G134" s="7"/>
      <c r="H134" s="7"/>
      <c r="I134" s="7"/>
      <c r="J134" s="7"/>
      <c r="K134" s="7"/>
      <c r="L134" s="7"/>
      <c r="M134" s="7"/>
      <c r="N134" s="7"/>
      <c r="O134" s="7"/>
      <c r="P134" s="7"/>
      <c r="Q134" s="7"/>
      <c r="R134" s="7"/>
      <c r="S134" s="7"/>
      <c r="T134" s="7"/>
      <c r="U134" s="7"/>
      <c r="V134" s="7"/>
      <c r="W134" s="7"/>
      <c r="X134" s="7"/>
      <c r="Y134" s="7"/>
      <c r="Z134" s="7"/>
      <c r="AA134" s="8"/>
      <c r="AB134" s="8"/>
      <c r="AC134" s="8"/>
      <c r="AD134" s="8"/>
      <c r="AE134" s="594"/>
      <c r="BX134" s="595"/>
    </row>
    <row r="135" spans="1:78" x14ac:dyDescent="0.3">
      <c r="A135" s="284"/>
      <c r="B135" s="284"/>
      <c r="C135" s="284"/>
      <c r="D135" s="7"/>
      <c r="E135" s="7"/>
      <c r="F135" s="7"/>
      <c r="G135" s="7"/>
      <c r="H135" s="7"/>
      <c r="I135" s="7"/>
      <c r="J135" s="7"/>
      <c r="K135" s="7"/>
      <c r="L135" s="7"/>
      <c r="M135" s="7"/>
      <c r="N135" s="7"/>
      <c r="O135" s="7"/>
      <c r="P135" s="7"/>
      <c r="Q135" s="7"/>
      <c r="R135" s="7"/>
      <c r="S135" s="7"/>
      <c r="T135" s="7"/>
      <c r="U135" s="7"/>
      <c r="V135" s="7"/>
      <c r="W135" s="7"/>
      <c r="X135" s="7"/>
      <c r="Y135" s="7"/>
      <c r="Z135" s="7"/>
      <c r="AA135" s="8"/>
      <c r="AB135" s="8"/>
      <c r="AC135" s="8"/>
      <c r="AD135" s="8"/>
      <c r="AE135" s="594"/>
      <c r="BX135" s="595"/>
    </row>
    <row r="136" spans="1:78" x14ac:dyDescent="0.3">
      <c r="A136" s="284"/>
      <c r="B136" s="284"/>
      <c r="C136" s="284"/>
      <c r="D136" s="7"/>
      <c r="E136" s="7"/>
      <c r="F136" s="7"/>
      <c r="G136" s="7"/>
      <c r="H136" s="7"/>
      <c r="I136" s="7"/>
      <c r="J136" s="7"/>
      <c r="K136" s="7"/>
      <c r="L136" s="7"/>
      <c r="M136" s="7"/>
      <c r="N136" s="7"/>
      <c r="O136" s="7"/>
      <c r="P136" s="7"/>
      <c r="Q136" s="7"/>
      <c r="R136" s="7"/>
      <c r="S136" s="7"/>
      <c r="T136" s="7"/>
      <c r="U136" s="7"/>
      <c r="V136" s="7"/>
      <c r="W136" s="7"/>
      <c r="X136" s="7"/>
      <c r="Y136" s="7"/>
      <c r="Z136" s="7"/>
      <c r="AA136" s="8"/>
      <c r="AB136" s="8"/>
      <c r="AC136" s="8"/>
      <c r="AD136" s="8"/>
      <c r="AE136" s="594"/>
      <c r="BX136" s="595"/>
    </row>
    <row r="137" spans="1:78" x14ac:dyDescent="0.3">
      <c r="A137" s="284"/>
      <c r="B137" s="284"/>
      <c r="C137" s="284"/>
      <c r="D137" s="7"/>
      <c r="E137" s="7"/>
      <c r="F137" s="7"/>
      <c r="G137" s="7"/>
      <c r="H137" s="7"/>
      <c r="I137" s="7"/>
      <c r="J137" s="7"/>
      <c r="K137" s="7"/>
      <c r="L137" s="7"/>
      <c r="M137" s="7"/>
      <c r="N137" s="7"/>
      <c r="O137" s="7"/>
      <c r="P137" s="7"/>
      <c r="Q137" s="7"/>
      <c r="R137" s="7"/>
      <c r="S137" s="7"/>
      <c r="T137" s="7"/>
      <c r="U137" s="7"/>
      <c r="V137" s="7"/>
      <c r="W137" s="7"/>
      <c r="X137" s="7"/>
      <c r="Y137" s="7"/>
      <c r="Z137" s="7"/>
      <c r="AA137" s="8"/>
      <c r="AB137" s="8"/>
      <c r="AC137" s="8"/>
      <c r="AD137" s="8"/>
      <c r="AE137" s="594"/>
      <c r="BX137" s="595"/>
    </row>
    <row r="138" spans="1:78" x14ac:dyDescent="0.3">
      <c r="A138" s="284"/>
      <c r="B138" s="284"/>
      <c r="C138" s="284"/>
      <c r="D138" s="7"/>
      <c r="E138" s="7"/>
      <c r="F138" s="7"/>
      <c r="G138" s="7"/>
      <c r="H138" s="7"/>
      <c r="I138" s="7"/>
      <c r="J138" s="7"/>
      <c r="K138" s="7"/>
      <c r="L138" s="7"/>
      <c r="M138" s="7"/>
      <c r="N138" s="7"/>
      <c r="O138" s="7"/>
      <c r="P138" s="7"/>
      <c r="Q138" s="7"/>
      <c r="R138" s="7"/>
      <c r="S138" s="7"/>
      <c r="T138" s="7"/>
      <c r="U138" s="7"/>
      <c r="V138" s="7"/>
      <c r="W138" s="7"/>
      <c r="X138" s="7"/>
      <c r="Y138" s="7"/>
      <c r="Z138" s="7"/>
      <c r="AA138" s="8"/>
      <c r="AB138" s="8"/>
      <c r="AC138" s="8"/>
      <c r="AD138" s="8"/>
      <c r="AE138" s="594"/>
    </row>
    <row r="139" spans="1:78" x14ac:dyDescent="0.3">
      <c r="A139" s="284"/>
      <c r="B139" s="284"/>
      <c r="C139" s="284"/>
      <c r="D139" s="7"/>
      <c r="E139" s="7"/>
      <c r="F139" s="7"/>
      <c r="G139" s="7"/>
      <c r="H139" s="7"/>
      <c r="I139" s="7"/>
      <c r="J139" s="7"/>
      <c r="K139" s="7"/>
      <c r="L139" s="7"/>
      <c r="M139" s="7"/>
      <c r="N139" s="7"/>
      <c r="O139" s="7"/>
      <c r="P139" s="7"/>
      <c r="Q139" s="7"/>
      <c r="R139" s="7"/>
      <c r="S139" s="7"/>
      <c r="T139" s="7"/>
      <c r="U139" s="7"/>
      <c r="V139" s="7"/>
      <c r="W139" s="7"/>
      <c r="X139" s="7"/>
      <c r="Y139" s="7"/>
      <c r="Z139" s="7"/>
      <c r="AA139" s="8"/>
      <c r="AB139" s="8"/>
      <c r="AC139" s="8"/>
      <c r="AD139" s="8"/>
      <c r="AE139" s="594"/>
      <c r="BW139" s="293"/>
      <c r="BX139" s="293"/>
      <c r="BY139" s="293"/>
      <c r="BZ139" s="293"/>
    </row>
    <row r="140" spans="1:78" x14ac:dyDescent="0.3">
      <c r="A140" s="284"/>
      <c r="B140" s="284"/>
      <c r="C140" s="284"/>
      <c r="D140" s="7"/>
      <c r="E140" s="7"/>
      <c r="F140" s="7"/>
      <c r="G140" s="7"/>
      <c r="H140" s="7"/>
      <c r="I140" s="7"/>
      <c r="J140" s="7"/>
      <c r="K140" s="7"/>
      <c r="L140" s="7"/>
      <c r="M140" s="7"/>
      <c r="N140" s="7"/>
      <c r="O140" s="7"/>
      <c r="P140" s="7"/>
      <c r="Q140" s="7"/>
      <c r="R140" s="7"/>
      <c r="S140" s="7"/>
      <c r="T140" s="7"/>
      <c r="U140" s="7"/>
      <c r="V140" s="7"/>
      <c r="W140" s="7"/>
      <c r="X140" s="7"/>
      <c r="Y140" s="7"/>
      <c r="Z140" s="7"/>
      <c r="AA140" s="8"/>
      <c r="AB140" s="8"/>
      <c r="AC140" s="8"/>
      <c r="AD140" s="8"/>
      <c r="AE140" s="594"/>
      <c r="BX140" s="595"/>
    </row>
    <row r="141" spans="1:78" x14ac:dyDescent="0.3">
      <c r="A141" s="284"/>
      <c r="B141" s="284"/>
      <c r="C141" s="284"/>
      <c r="D141" s="7"/>
      <c r="E141" s="7"/>
      <c r="F141" s="7"/>
      <c r="G141" s="7"/>
      <c r="H141" s="7"/>
      <c r="I141" s="7"/>
      <c r="J141" s="7"/>
      <c r="K141" s="7"/>
      <c r="L141" s="7"/>
      <c r="M141" s="7"/>
      <c r="N141" s="7"/>
      <c r="O141" s="7"/>
      <c r="P141" s="7"/>
      <c r="Q141" s="7"/>
      <c r="R141" s="7"/>
      <c r="S141" s="7"/>
      <c r="T141" s="7"/>
      <c r="U141" s="7"/>
      <c r="V141" s="7"/>
      <c r="W141" s="7"/>
      <c r="X141" s="7"/>
      <c r="Y141" s="7"/>
      <c r="Z141" s="7"/>
      <c r="AA141" s="8"/>
      <c r="AB141" s="8"/>
      <c r="AC141" s="8"/>
      <c r="AD141" s="8"/>
      <c r="AE141" s="594"/>
      <c r="BX141" s="595"/>
    </row>
    <row r="142" spans="1:78" x14ac:dyDescent="0.3">
      <c r="BX142" s="595"/>
    </row>
    <row r="143" spans="1:78" x14ac:dyDescent="0.3">
      <c r="BX143" s="595"/>
    </row>
    <row r="144" spans="1:78" x14ac:dyDescent="0.3">
      <c r="BX144" s="595"/>
    </row>
    <row r="145" spans="75:78" x14ac:dyDescent="0.3">
      <c r="BX145" s="595"/>
    </row>
    <row r="146" spans="75:78" x14ac:dyDescent="0.3"/>
    <row r="147" spans="75:78" x14ac:dyDescent="0.3">
      <c r="BW147" s="293"/>
      <c r="BX147" s="293"/>
      <c r="BY147" s="293"/>
      <c r="BZ147" s="293"/>
    </row>
    <row r="148" spans="75:78" x14ac:dyDescent="0.3">
      <c r="BX148" s="595"/>
    </row>
    <row r="149" spans="75:78" x14ac:dyDescent="0.3">
      <c r="BX149" s="595"/>
    </row>
    <row r="150" spans="75:78" x14ac:dyDescent="0.3">
      <c r="BX150" s="595"/>
    </row>
    <row r="151" spans="75:78" x14ac:dyDescent="0.3">
      <c r="BX151" s="595"/>
    </row>
    <row r="152" spans="75:78" x14ac:dyDescent="0.3">
      <c r="BX152" s="595"/>
    </row>
    <row r="153" spans="75:78" x14ac:dyDescent="0.3">
      <c r="BX153" s="595"/>
    </row>
    <row r="154" spans="75:78" x14ac:dyDescent="0.3"/>
    <row r="155" spans="75:78" x14ac:dyDescent="0.3">
      <c r="BW155" s="293"/>
      <c r="BX155" s="293"/>
      <c r="BY155" s="293"/>
      <c r="BZ155" s="293"/>
    </row>
    <row r="156" spans="75:78" x14ac:dyDescent="0.3">
      <c r="BX156" s="595"/>
    </row>
    <row r="157" spans="75:78" x14ac:dyDescent="0.3">
      <c r="BX157" s="595"/>
    </row>
    <row r="158" spans="75:78" x14ac:dyDescent="0.3">
      <c r="BX158" s="595"/>
    </row>
    <row r="159" spans="75:78" x14ac:dyDescent="0.3">
      <c r="BX159" s="595"/>
    </row>
    <row r="160" spans="75:78" x14ac:dyDescent="0.3">
      <c r="BX160" s="595"/>
    </row>
    <row r="161" spans="75:78" x14ac:dyDescent="0.3">
      <c r="BX161" s="595"/>
    </row>
    <row r="162" spans="75:78" x14ac:dyDescent="0.3"/>
    <row r="163" spans="75:78" x14ac:dyDescent="0.3">
      <c r="BW163" s="293"/>
      <c r="BX163" s="293"/>
      <c r="BY163" s="293"/>
      <c r="BZ163" s="293"/>
    </row>
    <row r="164" spans="75:78" x14ac:dyDescent="0.3">
      <c r="BX164" s="595"/>
    </row>
    <row r="165" spans="75:78" x14ac:dyDescent="0.3">
      <c r="BX165" s="595"/>
    </row>
    <row r="166" spans="75:78" x14ac:dyDescent="0.3">
      <c r="BX166" s="595"/>
    </row>
    <row r="167" spans="75:78" x14ac:dyDescent="0.3">
      <c r="BX167" s="595"/>
    </row>
    <row r="168" spans="75:78" x14ac:dyDescent="0.3">
      <c r="BX168" s="595"/>
    </row>
    <row r="169" spans="75:78" x14ac:dyDescent="0.3">
      <c r="BX169" s="595"/>
    </row>
    <row r="170" spans="75:78" x14ac:dyDescent="0.3"/>
    <row r="171" spans="75:78" x14ac:dyDescent="0.3"/>
    <row r="172" spans="75:78" x14ac:dyDescent="0.3"/>
    <row r="173" spans="75:78" x14ac:dyDescent="0.3"/>
    <row r="174" spans="75:78" x14ac:dyDescent="0.3"/>
    <row r="175" spans="75:78" x14ac:dyDescent="0.3"/>
    <row r="176" spans="75:78" x14ac:dyDescent="0.3"/>
    <row r="177" x14ac:dyDescent="0.3"/>
    <row r="178" x14ac:dyDescent="0.3"/>
    <row r="179" x14ac:dyDescent="0.3"/>
    <row r="180" x14ac:dyDescent="0.3"/>
    <row r="181" x14ac:dyDescent="0.3"/>
    <row r="182" x14ac:dyDescent="0.3"/>
    <row r="183" x14ac:dyDescent="0.3"/>
    <row r="184" x14ac:dyDescent="0.3"/>
    <row r="185" x14ac:dyDescent="0.3"/>
    <row r="186" x14ac:dyDescent="0.3"/>
    <row r="187" x14ac:dyDescent="0.3"/>
    <row r="188" x14ac:dyDescent="0.3"/>
    <row r="189" x14ac:dyDescent="0.3"/>
    <row r="190" x14ac:dyDescent="0.3"/>
    <row r="191" x14ac:dyDescent="0.3"/>
    <row r="192"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row r="209" x14ac:dyDescent="0.3"/>
    <row r="210" x14ac:dyDescent="0.3"/>
    <row r="211" x14ac:dyDescent="0.3"/>
    <row r="212" x14ac:dyDescent="0.3"/>
    <row r="213" x14ac:dyDescent="0.3"/>
    <row r="214" x14ac:dyDescent="0.3"/>
    <row r="215" x14ac:dyDescent="0.3"/>
    <row r="216" x14ac:dyDescent="0.3"/>
    <row r="217" x14ac:dyDescent="0.3"/>
    <row r="218" x14ac:dyDescent="0.3"/>
    <row r="219" x14ac:dyDescent="0.3"/>
  </sheetData>
  <sheetProtection algorithmName="SHA-512" hashValue="wODY1UPtkfF2BWQh9VcmSK6RA1pfjh+u+KRyAtTPYVAFhKv/dEkXdLPgYlef8Tp6pX7tns7D8NnsbhgB1clnuQ==" saltValue="xGSjxCo+QpWnF2jSubsj1g==" spinCount="100000" sheet="1" scenarios="1" selectLockedCells="1"/>
  <mergeCells count="15">
    <mergeCell ref="G1:H1"/>
    <mergeCell ref="Q59:AA61"/>
    <mergeCell ref="E44:E45"/>
    <mergeCell ref="E37:E40"/>
    <mergeCell ref="BN4:BS4"/>
    <mergeCell ref="BH4:BM4"/>
    <mergeCell ref="AB4:AD5"/>
    <mergeCell ref="AB12:AD13"/>
    <mergeCell ref="E4:E9"/>
    <mergeCell ref="E12:E17"/>
    <mergeCell ref="Q56:AA58"/>
    <mergeCell ref="E20:E25"/>
    <mergeCell ref="AB20:AD21"/>
    <mergeCell ref="AB28:AD29"/>
    <mergeCell ref="E28:E33"/>
  </mergeCells>
  <phoneticPr fontId="23" type="noConversion"/>
  <conditionalFormatting sqref="J37 M37">
    <cfRule type="expression" dxfId="42" priority="308">
      <formula>IF(COUNT($K37:$L37)=2,IF(AND($J37&lt;&gt;$M37,$K37=$L37,$J37&lt;&gt;"",$M37&lt;&gt;""),1=2,IF(AND($J37&lt;&gt;"",$K37=$L37),1=1,IF(AND($J37="",$K37=$L37),1=1,1=2))),1=2)</formula>
    </cfRule>
  </conditionalFormatting>
  <conditionalFormatting sqref="J38:J39">
    <cfRule type="expression" dxfId="41" priority="98">
      <formula>IF(COUNT($K38:$L38)=2,IF(AND($J38&lt;&gt;$M38,$K38=$L38,$J38&lt;&gt;"",$M38&lt;&gt;""),1=2,IF(AND($J38&lt;&gt;"",$K38=$L38),1=1,IF(AND($J38="",$K38=$L38),1=1,1=2))),1=2)</formula>
    </cfRule>
  </conditionalFormatting>
  <conditionalFormatting sqref="J40">
    <cfRule type="expression" dxfId="40" priority="102">
      <formula>IF(COUNT($K40:$L40)=2,IF(AND($J40&lt;&gt;$M40,$K40=$L40,$J40&lt;&gt;"",$M40&lt;&gt;""),1=2,IF(AND($J40&lt;&gt;"",$K40=$L40),1=1,IF(AND($J40="",$K40=$L40),1=1,1=2))),1=2)</formula>
    </cfRule>
  </conditionalFormatting>
  <conditionalFormatting sqref="J44:J45 M44:M45">
    <cfRule type="expression" dxfId="39" priority="179">
      <formula>IF(COUNT($K44:$L44)=2,IF(AND($J44&lt;&gt;$M44,$K44=$L44,$J44&lt;&gt;"",$M44&lt;&gt;""),1=2,IF(AND($J44&lt;&gt;"",$K44=$L44),1=1,IF(AND($J44="",$K44=$L44),1=1,1=2))),1=2)</formula>
    </cfRule>
  </conditionalFormatting>
  <conditionalFormatting sqref="J49 M49">
    <cfRule type="expression" dxfId="38" priority="3">
      <formula>IF(COUNT($K49:$L49)=2,IF(AND($J49&lt;&gt;$M49,$K49=$L49,$J49&lt;&gt;"",$M49&lt;&gt;""),1=2,IF(AND($J49&lt;&gt;"",$K49=$L49),1=1,IF(AND($J49="",$K49=$L49),1=1,1=2))),1=2)</formula>
    </cfRule>
  </conditionalFormatting>
  <conditionalFormatting sqref="J53 M53">
    <cfRule type="expression" dxfId="37" priority="126">
      <formula>IF(COUNT($K53:$L53)=2,IF(AND($J53&lt;&gt;$M53,$K53=$L53,$J53&lt;&gt;"",$M53&lt;&gt;""),1=2,IF(AND($J53&lt;&gt;"",$K53=$L53),1=1,IF(AND($J53="",$K53=$L53),1=1,1=2))),1=2)</formula>
    </cfRule>
  </conditionalFormatting>
  <conditionalFormatting sqref="K4:L4">
    <cfRule type="expression" dxfId="36" priority="7">
      <formula>K4=""</formula>
    </cfRule>
  </conditionalFormatting>
  <conditionalFormatting sqref="K5:L9">
    <cfRule type="expression" dxfId="35" priority="6">
      <formula>K5=""</formula>
    </cfRule>
  </conditionalFormatting>
  <conditionalFormatting sqref="K12:L12">
    <cfRule type="expression" dxfId="34" priority="173">
      <formula>K12=""</formula>
    </cfRule>
  </conditionalFormatting>
  <conditionalFormatting sqref="K13:L17">
    <cfRule type="expression" dxfId="33" priority="172">
      <formula>K13=""</formula>
    </cfRule>
  </conditionalFormatting>
  <conditionalFormatting sqref="K20:L20">
    <cfRule type="expression" dxfId="32" priority="155">
      <formula>K20=""</formula>
    </cfRule>
  </conditionalFormatting>
  <conditionalFormatting sqref="K21:L25">
    <cfRule type="expression" dxfId="31" priority="154">
      <formula>K21=""</formula>
    </cfRule>
  </conditionalFormatting>
  <conditionalFormatting sqref="K28:L28">
    <cfRule type="expression" dxfId="30" priority="25">
      <formula>K28=""</formula>
    </cfRule>
  </conditionalFormatting>
  <conditionalFormatting sqref="K29:L33">
    <cfRule type="expression" dxfId="29" priority="24">
      <formula>K29=""</formula>
    </cfRule>
  </conditionalFormatting>
  <conditionalFormatting sqref="K37:L37">
    <cfRule type="expression" dxfId="28" priority="368">
      <formula>K37=""</formula>
    </cfRule>
  </conditionalFormatting>
  <conditionalFormatting sqref="K38:L39">
    <cfRule type="expression" dxfId="27" priority="332">
      <formula>K38=""</formula>
    </cfRule>
  </conditionalFormatting>
  <conditionalFormatting sqref="K40:L40">
    <cfRule type="expression" dxfId="26" priority="329">
      <formula>K40=""</formula>
    </cfRule>
  </conditionalFormatting>
  <conditionalFormatting sqref="K44:L45">
    <cfRule type="expression" dxfId="25" priority="411">
      <formula>K44=""</formula>
    </cfRule>
  </conditionalFormatting>
  <conditionalFormatting sqref="K49:L49">
    <cfRule type="expression" dxfId="24" priority="1">
      <formula>K49=""</formula>
    </cfRule>
  </conditionalFormatting>
  <conditionalFormatting sqref="K53:L53">
    <cfRule type="expression" dxfId="23" priority="124">
      <formula>K53=""</formula>
    </cfRule>
  </conditionalFormatting>
  <conditionalFormatting sqref="M38:M39">
    <cfRule type="expression" dxfId="22" priority="97">
      <formula>IF(COUNT($K38:$L38)=2,IF(AND($J38&lt;&gt;$M38,$K38=$L38,$J38&lt;&gt;"",$M38&lt;&gt;""),1=2,IF(AND($J38&lt;&gt;"",$K38=$L38),1=1,IF(AND($J38="",$K38=$L38),1=1,1=2))),1=2)</formula>
    </cfRule>
  </conditionalFormatting>
  <conditionalFormatting sqref="M40">
    <cfRule type="expression" dxfId="21" priority="101">
      <formula>IF(COUNT($K40:$L40)=2,IF(AND($J40&lt;&gt;$M40,$K40=$L40,$J40&lt;&gt;"",$M40&lt;&gt;""),1=2,IF(AND($J40&lt;&gt;"",$K40=$L40),1=1,IF(AND($J40="",$K40=$L40),1=1,1=2))),1=2)</formula>
    </cfRule>
  </conditionalFormatting>
  <conditionalFormatting sqref="O4:O9">
    <cfRule type="iconSet" priority="524">
      <iconSet iconSet="3Symbols2" showValue="0">
        <cfvo type="percent" val="0"/>
        <cfvo type="num" val="0.5"/>
        <cfvo type="num" val="1"/>
      </iconSet>
    </cfRule>
  </conditionalFormatting>
  <conditionalFormatting sqref="O12:O17">
    <cfRule type="iconSet" priority="176">
      <iconSet iconSet="3Symbols2" showValue="0">
        <cfvo type="percent" val="0"/>
        <cfvo type="num" val="0.5"/>
        <cfvo type="num" val="1"/>
      </iconSet>
    </cfRule>
  </conditionalFormatting>
  <conditionalFormatting sqref="O20:O25">
    <cfRule type="iconSet" priority="158">
      <iconSet iconSet="3Symbols2" showValue="0">
        <cfvo type="percent" val="0"/>
        <cfvo type="num" val="0.5"/>
        <cfvo type="num" val="1"/>
      </iconSet>
    </cfRule>
  </conditionalFormatting>
  <conditionalFormatting sqref="O28:O33">
    <cfRule type="iconSet" priority="96">
      <iconSet iconSet="3Symbols2" showValue="0">
        <cfvo type="percent" val="0"/>
        <cfvo type="num" val="0.5"/>
        <cfvo type="num" val="1"/>
      </iconSet>
    </cfRule>
  </conditionalFormatting>
  <conditionalFormatting sqref="O37:O40 O44:O45">
    <cfRule type="iconSet" priority="11">
      <iconSet iconSet="3Symbols2" showValue="0">
        <cfvo type="percent" val="0"/>
        <cfvo type="num" val="0.5"/>
        <cfvo type="num" val="1"/>
      </iconSet>
    </cfRule>
  </conditionalFormatting>
  <conditionalFormatting sqref="O49">
    <cfRule type="iconSet" priority="2">
      <iconSet iconSet="3Symbols2" showValue="0">
        <cfvo type="percent" val="0"/>
        <cfvo type="num" val="0.5"/>
        <cfvo type="num" val="1"/>
      </iconSet>
    </cfRule>
  </conditionalFormatting>
  <conditionalFormatting sqref="O53">
    <cfRule type="iconSet" priority="125">
      <iconSet iconSet="3Symbols2" showValue="0">
        <cfvo type="percent" val="0"/>
        <cfvo type="num" val="0.5"/>
        <cfvo type="num" val="1"/>
      </iconSet>
    </cfRule>
  </conditionalFormatting>
  <conditionalFormatting sqref="O56:O58">
    <cfRule type="iconSet" priority="121">
      <iconSet iconSet="3Symbols2" showValue="0">
        <cfvo type="percent" val="0"/>
        <cfvo type="num" val="0.5"/>
        <cfvo type="num" val="1"/>
      </iconSet>
    </cfRule>
  </conditionalFormatting>
  <conditionalFormatting sqref="O61:O63">
    <cfRule type="iconSet" priority="120">
      <iconSet iconSet="3Symbols2" showValue="0">
        <cfvo type="percent" val="0"/>
        <cfvo type="num" val="0.5"/>
        <cfvo type="num" val="1"/>
      </iconSet>
    </cfRule>
  </conditionalFormatting>
  <conditionalFormatting sqref="O66">
    <cfRule type="iconSet" priority="118">
      <iconSet iconSet="3Symbols2" showValue="0">
        <cfvo type="percent" val="0"/>
        <cfvo type="num" val="0.5"/>
        <cfvo type="num" val="1"/>
      </iconSet>
    </cfRule>
  </conditionalFormatting>
  <conditionalFormatting sqref="Q8:Z9">
    <cfRule type="expression" dxfId="20" priority="191" stopIfTrue="1">
      <formula>SUM($T$6:$T$9)=12</formula>
    </cfRule>
  </conditionalFormatting>
  <conditionalFormatting sqref="Q16:Z17">
    <cfRule type="expression" dxfId="19" priority="161">
      <formula>SUM($T$14:$T$17)=12</formula>
    </cfRule>
  </conditionalFormatting>
  <conditionalFormatting sqref="Q24:Z25">
    <cfRule type="expression" dxfId="18" priority="141">
      <formula>SUM($T$22:$T$25)=12</formula>
    </cfRule>
  </conditionalFormatting>
  <conditionalFormatting sqref="Q32:Z33">
    <cfRule type="expression" dxfId="17" priority="85">
      <formula>SUM($T$30:$T$33)=12</formula>
    </cfRule>
  </conditionalFormatting>
  <conditionalFormatting sqref="Q56:AA61">
    <cfRule type="expression" dxfId="16" priority="116" stopIfTrue="1">
      <formula>IF($Q$56=$R$54,1,0)</formula>
    </cfRule>
  </conditionalFormatting>
  <conditionalFormatting sqref="AA6:AA9">
    <cfRule type="iconSet" priority="523">
      <iconSet iconSet="3Symbols2" showValue="0">
        <cfvo type="percent" val="0"/>
        <cfvo type="num" val="0"/>
        <cfvo type="num" val="90"/>
      </iconSet>
    </cfRule>
  </conditionalFormatting>
  <conditionalFormatting sqref="AA14:AA17">
    <cfRule type="iconSet" priority="175">
      <iconSet iconSet="3Symbols2" showValue="0">
        <cfvo type="percent" val="0"/>
        <cfvo type="num" val="0"/>
        <cfvo type="num" val="90"/>
      </iconSet>
    </cfRule>
  </conditionalFormatting>
  <conditionalFormatting sqref="AA22:AA25">
    <cfRule type="iconSet" priority="8">
      <iconSet iconSet="3Symbols2" showValue="0">
        <cfvo type="percent" val="0"/>
        <cfvo type="num" val="0"/>
        <cfvo type="num" val="90"/>
      </iconSet>
    </cfRule>
  </conditionalFormatting>
  <conditionalFormatting sqref="AA30:AA33">
    <cfRule type="iconSet" priority="95">
      <iconSet iconSet="3Symbols2" showValue="0">
        <cfvo type="percent" val="0"/>
        <cfvo type="num" val="0"/>
        <cfvo type="num" val="90"/>
      </iconSet>
    </cfRule>
  </conditionalFormatting>
  <conditionalFormatting sqref="AB4:AD5">
    <cfRule type="expression" dxfId="15" priority="204">
      <formula>$AA$5&gt;0</formula>
    </cfRule>
  </conditionalFormatting>
  <conditionalFormatting sqref="AB12:AD13">
    <cfRule type="expression" dxfId="14" priority="167">
      <formula>$AA$13&gt;0</formula>
    </cfRule>
  </conditionalFormatting>
  <conditionalFormatting sqref="AB20:AD21">
    <cfRule type="expression" dxfId="13" priority="149">
      <formula>$AA$21&gt;0</formula>
    </cfRule>
  </conditionalFormatting>
  <conditionalFormatting sqref="AB28:AD29">
    <cfRule type="expression" dxfId="12" priority="91">
      <formula>$AA$29&gt;0</formula>
    </cfRule>
  </conditionalFormatting>
  <conditionalFormatting sqref="AC6:AC9">
    <cfRule type="expression" dxfId="11" priority="212">
      <formula>IF(AND(VLOOKUP(AB6,$R$6:$AA$9,10,0)&gt;=0,VLOOKUP(AB6,$R$6:$AA$9,10,0)&lt;90),1,0)</formula>
    </cfRule>
  </conditionalFormatting>
  <conditionalFormatting sqref="AC14:AC17">
    <cfRule type="expression" dxfId="10" priority="168">
      <formula>IF(AND(VLOOKUP(AB14,$R$14:$AA$17,10,0)&gt;=0,VLOOKUP(AB14,$R$14:$AA$17,10,0)&lt;90),1,0)</formula>
    </cfRule>
  </conditionalFormatting>
  <conditionalFormatting sqref="AC22:AC25">
    <cfRule type="expression" dxfId="9" priority="150">
      <formula>IF(AND(VLOOKUP(AB22,$R$22:$AA$25,10,0)&gt;=0,VLOOKUP(AB22,$R$22:$AA$25,10,0)&lt;90),1,0)</formula>
    </cfRule>
  </conditionalFormatting>
  <conditionalFormatting sqref="AC30:AC33">
    <cfRule type="expression" dxfId="8" priority="92">
      <formula>IF(AND(VLOOKUP(AB30,$R$30:$AA$33,10,0)&gt;=0,VLOOKUP(AB30,$R$30:$AA$33,10,0)&lt;90),1,0)</formula>
    </cfRule>
  </conditionalFormatting>
  <conditionalFormatting sqref="CY5:DE5">
    <cfRule type="duplicateValues" dxfId="7" priority="4"/>
  </conditionalFormatting>
  <dataValidations count="4">
    <dataValidation type="whole" allowBlank="1" showInputMessage="1" showErrorMessage="1" error="Introduzca un número." sqref="J37:M40 J44:M45 J53:M53 J49:M49" xr:uid="{00000000-0002-0000-0100-000000000000}">
      <formula1>0</formula1>
      <formula2>100</formula2>
    </dataValidation>
    <dataValidation type="whole" allowBlank="1" showInputMessage="1" showErrorMessage="1" error="Introduzca un número" sqref="K12:L17 K20:L25 K28:L33 K4:L9" xr:uid="{00000000-0002-0000-0100-000005000000}">
      <formula1>0</formula1>
      <formula2>100</formula2>
    </dataValidation>
    <dataValidation type="list" allowBlank="1" showInputMessage="1" showErrorMessage="1" error="Introduce un puesto que corresponda_x000a_" sqref="AC6 AC14 AC22 AC30" xr:uid="{00000000-0002-0000-0100-000001000000}">
      <formula1>OFFSET($DG$4,1,MATCH($CN6,$DH$4:$DQ$4,0),HLOOKUP($CN6,$DH$4:$DQ$9,6,0),1)</formula1>
    </dataValidation>
    <dataValidation type="list" allowBlank="1" showInputMessage="1" showErrorMessage="1" sqref="AC15:AC17 AC23:AC25 AC31:AC33 AC7:AC9" xr:uid="{00000000-0002-0000-0100-000002000000}">
      <formula1>OFFSET($DG$4,1,MATCH($CN7,$DH$4:$DQ$4,0),HLOOKUP($CN7,$DH$4:$DQ$9,6,0),1)</formula1>
    </dataValidation>
  </dataValidations>
  <pageMargins left="0.7" right="0.7" top="0.75" bottom="0.75" header="0.3" footer="0.3"/>
  <pageSetup paperSize="9" orientation="portrait" r:id="rId1"/>
  <ignoredErrors>
    <ignoredError sqref="J43 M43" unlockedFormula="1"/>
    <ignoredError sqref="O4:O10 AA10" emptyCellReference="1"/>
  </ignoredErrors>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A30762CB-875A-0544-BA22-4AB42BB4FB4D}">
          <x14:formula1>
            <xm:f>Equipos!$F$2:$F$7</xm:f>
          </x14:formula1>
          <xm:sqref>B4 B12 B20 B28</xm:sqref>
        </x14:dataValidation>
        <x14:dataValidation type="list" allowBlank="1" showInputMessage="1" showErrorMessage="1" xr:uid="{B4E4BD38-9DAB-48D6-821D-E7A473F4B1A8}">
          <x14:formula1>
            <xm:f>Horarios!$Q$3:$Q$54</xm:f>
          </x14:formula1>
          <xm:sqref>G1:H1</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95"/>
  <sheetViews>
    <sheetView workbookViewId="0">
      <selection activeCell="C6" sqref="C6:C95"/>
    </sheetView>
  </sheetViews>
  <sheetFormatPr defaultColWidth="0" defaultRowHeight="14.4" x14ac:dyDescent="0.3"/>
  <cols>
    <col min="1" max="1" width="10.77734375" customWidth="1"/>
    <col min="2" max="2" width="29.44140625" customWidth="1"/>
    <col min="3" max="3" width="35" customWidth="1"/>
    <col min="4" max="4" width="12.6640625" customWidth="1"/>
    <col min="5" max="8" width="10.77734375" customWidth="1"/>
    <col min="9" max="9" width="3.109375" customWidth="1"/>
    <col min="10" max="12" width="10.77734375" customWidth="1"/>
    <col min="13" max="13" width="3.6640625" customWidth="1"/>
    <col min="14" max="14" width="4.6640625" customWidth="1"/>
    <col min="15" max="15" width="4" customWidth="1"/>
    <col min="16" max="16" width="4.77734375" customWidth="1"/>
    <col min="17" max="16384" width="10.77734375" style="1" hidden="1"/>
  </cols>
  <sheetData>
    <row r="1" spans="1:14" x14ac:dyDescent="0.3">
      <c r="B1" s="7"/>
      <c r="C1" s="9" t="str">
        <f>Idiomas!D67</f>
        <v>Para el administrador de la Quiniela</v>
      </c>
      <c r="D1" s="7"/>
      <c r="E1" s="675" t="str">
        <f>Idiomas!D71</f>
        <v>EL ADMINISTRADOR DE LA QUINIELA SEGUIRÁ LAS INSTRUCCIONES DE AQUÍ ABAJO</v>
      </c>
      <c r="F1" s="675"/>
      <c r="G1" s="675"/>
      <c r="H1" s="675"/>
      <c r="I1" s="675"/>
      <c r="J1" s="675"/>
      <c r="K1" s="675"/>
      <c r="L1" s="675"/>
      <c r="M1" s="675"/>
      <c r="N1" s="675"/>
    </row>
    <row r="2" spans="1:14" ht="18.600000000000001" thickBot="1" x14ac:dyDescent="0.4">
      <c r="B2" s="10" t="str">
        <f>Idiomas!D68</f>
        <v>PARTICIPANTE</v>
      </c>
      <c r="C2" s="7"/>
      <c r="D2" s="7"/>
      <c r="E2" s="675"/>
      <c r="F2" s="675"/>
      <c r="G2" s="675"/>
      <c r="H2" s="675"/>
      <c r="I2" s="675"/>
      <c r="J2" s="675"/>
      <c r="K2" s="675"/>
      <c r="L2" s="675"/>
      <c r="M2" s="675"/>
      <c r="N2" s="675"/>
    </row>
    <row r="3" spans="1:14" ht="25.95" customHeight="1" thickBot="1" x14ac:dyDescent="0.35">
      <c r="B3" s="7" t="str">
        <f>Idiomas!D69</f>
        <v>Nombre</v>
      </c>
      <c r="C3" s="11" t="str">
        <f>'COPA AMERICA'!I66</f>
        <v>ESCRIBE TU NOMBRE</v>
      </c>
      <c r="D3" s="7"/>
      <c r="E3" s="679" t="str">
        <f>Idiomas!D72</f>
        <v>·Si haceis toda la Copa América de golpe copiar de la C6 a la C95 y pegar valores en la plantilla de Administrador.</v>
      </c>
      <c r="F3" s="679"/>
      <c r="G3" s="679"/>
      <c r="H3" s="679"/>
      <c r="I3" s="679"/>
      <c r="J3" s="679"/>
      <c r="K3" s="679"/>
      <c r="L3" s="679"/>
      <c r="M3" s="679"/>
      <c r="N3" s="680"/>
    </row>
    <row r="4" spans="1:14" ht="45" customHeight="1" x14ac:dyDescent="0.4">
      <c r="B4" s="267"/>
      <c r="C4" s="266" t="str">
        <f>Idiomas!D70</f>
        <v>¡No tocar nada, se rellena solo!</v>
      </c>
      <c r="D4" s="267"/>
      <c r="E4" s="678" t="str">
        <f>Idiomas!D73</f>
        <v>·Si haceis toda la fase de grupos de golpe y las eliminatorias aparte, copiar primero de la C6 a la C57 y pegar valores en la plantilla de Administrador. OJO, copiar también y pegar valores de la C93 a la C95. En octavos seguir las instrucciones de abajo.</v>
      </c>
      <c r="F4" s="678"/>
      <c r="G4" s="678"/>
      <c r="H4" s="678"/>
      <c r="I4" s="678"/>
      <c r="J4" s="678"/>
      <c r="K4" s="678"/>
      <c r="L4" s="678"/>
      <c r="M4" s="678"/>
      <c r="N4" s="258"/>
    </row>
    <row r="5" spans="1:14" ht="19.05" customHeight="1" x14ac:dyDescent="0.35">
      <c r="B5" s="10" t="str">
        <f>Idiomas!D88</f>
        <v>FASE DE GRUPOS</v>
      </c>
      <c r="E5" s="654" t="str">
        <f>Idiomas!D74</f>
        <v>·Si haceis jornada a jornada seguir las instrucciones de cada jornada</v>
      </c>
      <c r="F5" s="654"/>
      <c r="G5" s="654"/>
      <c r="H5" s="654"/>
      <c r="I5" s="654"/>
      <c r="J5" s="250"/>
      <c r="K5" s="250"/>
      <c r="L5" s="250"/>
      <c r="M5" s="257"/>
      <c r="N5" s="258"/>
    </row>
    <row r="6" spans="1:14" ht="15" customHeight="1" x14ac:dyDescent="0.3">
      <c r="A6" s="237" t="s">
        <v>137</v>
      </c>
      <c r="B6" t="str">
        <f ca="1">CONCATENATE('COPA AMERICA'!I4,"-",'COPA AMERICA'!N4)</f>
        <v>Argentina-Canadá</v>
      </c>
      <c r="C6" s="12" t="str">
        <f>CONCATENATE(IF('COPA AMERICA'!K4&gt;'COPA AMERICA'!L4,1,IF('COPA AMERICA'!K4&lt;'COPA AMERICA'!L4,2,IF(AND('COPA AMERICA'!K4='COPA AMERICA'!L4,'COPA AMERICA'!K4&lt;&gt;"",'COPA AMERICA'!L4&lt;&gt;""),"X",0))),"|",'COPA AMERICA'!K4,"-",'COPA AMERICA'!L4)</f>
        <v>0|-</v>
      </c>
      <c r="D6" s="674" t="str">
        <f>Idiomas!D85</f>
        <v>J1</v>
      </c>
      <c r="E6" s="676" t="str">
        <f>Idiomas!D75</f>
        <v>·Para la primera jornada selecciona de la C6 a la C13 y pega valores en la plantilla de administrador. ¡OJO! COPIAR TAMBIÉN de la C93 a la C95.</v>
      </c>
      <c r="F6" s="677"/>
      <c r="G6" s="677"/>
      <c r="H6" s="677"/>
      <c r="I6" s="251"/>
      <c r="J6" s="1"/>
      <c r="K6" s="1"/>
      <c r="L6" s="1"/>
      <c r="M6" s="257"/>
      <c r="N6" s="258"/>
    </row>
    <row r="7" spans="1:14" ht="15" customHeight="1" x14ac:dyDescent="0.3">
      <c r="A7" s="237" t="s">
        <v>137</v>
      </c>
      <c r="B7" t="str">
        <f ca="1">CONCATENATE('COPA AMERICA'!I5,"-",'COPA AMERICA'!N5)</f>
        <v>Perú-Chile</v>
      </c>
      <c r="C7" s="12" t="str">
        <f>CONCATENATE(IF('COPA AMERICA'!K5&gt;'COPA AMERICA'!L5,1,IF('COPA AMERICA'!K5&lt;'COPA AMERICA'!L5,2,IF(AND('COPA AMERICA'!K5='COPA AMERICA'!L5,'COPA AMERICA'!K5&lt;&gt;"",'COPA AMERICA'!L5&lt;&gt;""),"X",0))),"|",'COPA AMERICA'!K5,"-",'COPA AMERICA'!L5)</f>
        <v>0|-</v>
      </c>
      <c r="D7" s="674"/>
      <c r="E7" s="672"/>
      <c r="F7" s="673"/>
      <c r="G7" s="673"/>
      <c r="H7" s="673"/>
      <c r="I7" s="252"/>
      <c r="J7" s="1"/>
      <c r="K7" s="1"/>
      <c r="L7" s="1"/>
      <c r="M7" s="257"/>
      <c r="N7" s="258"/>
    </row>
    <row r="8" spans="1:14" ht="15" customHeight="1" x14ac:dyDescent="0.3">
      <c r="A8" s="238" t="s">
        <v>138</v>
      </c>
      <c r="B8" t="str">
        <f ca="1">CONCATENATE('COPA AMERICA'!I12,"-",'COPA AMERICA'!N12)</f>
        <v>Ecuador-Venezuela</v>
      </c>
      <c r="C8" s="12" t="str">
        <f>CONCATENATE(IF('COPA AMERICA'!K12&gt;'COPA AMERICA'!L12,1,IF('COPA AMERICA'!K12&lt;'COPA AMERICA'!L12,2,IF(AND('COPA AMERICA'!K12='COPA AMERICA'!L12,'COPA AMERICA'!K12&lt;&gt;"",'COPA AMERICA'!L12&lt;&gt;""),"X",0))),"|",'COPA AMERICA'!K12,"-",'COPA AMERICA'!L12)</f>
        <v>0|-</v>
      </c>
      <c r="D8" s="674"/>
      <c r="E8" s="672"/>
      <c r="F8" s="673"/>
      <c r="G8" s="673"/>
      <c r="H8" s="673"/>
      <c r="I8" s="252"/>
      <c r="J8" s="1"/>
      <c r="K8" s="1"/>
      <c r="L8" s="1"/>
      <c r="M8" s="257"/>
      <c r="N8" s="258"/>
    </row>
    <row r="9" spans="1:14" ht="15" customHeight="1" x14ac:dyDescent="0.3">
      <c r="A9" s="238" t="s">
        <v>138</v>
      </c>
      <c r="B9" t="str">
        <f ca="1">CONCATENATE('COPA AMERICA'!I13,"-",'COPA AMERICA'!N13)</f>
        <v>México-Jamaica</v>
      </c>
      <c r="C9" s="12" t="str">
        <f>CONCATENATE(IF('COPA AMERICA'!K13&gt;'COPA AMERICA'!L13,1,IF('COPA AMERICA'!K13&lt;'COPA AMERICA'!L13,2,IF(AND('COPA AMERICA'!K13='COPA AMERICA'!L13,'COPA AMERICA'!K13&lt;&gt;"",'COPA AMERICA'!L13&lt;&gt;""),"X",0))),"|",'COPA AMERICA'!K13,"-",'COPA AMERICA'!L13)</f>
        <v>0|-</v>
      </c>
      <c r="D9" s="674"/>
      <c r="E9" s="672"/>
      <c r="F9" s="673"/>
      <c r="G9" s="673"/>
      <c r="H9" s="673"/>
      <c r="I9" s="252"/>
      <c r="J9" s="1"/>
      <c r="K9" s="1"/>
      <c r="L9" s="1"/>
      <c r="M9" s="257"/>
      <c r="N9" s="258"/>
    </row>
    <row r="10" spans="1:14" ht="15" customHeight="1" x14ac:dyDescent="0.3">
      <c r="A10" s="239" t="s">
        <v>139</v>
      </c>
      <c r="B10" t="str">
        <f ca="1">CONCATENATE('COPA AMERICA'!I20,"-",'COPA AMERICA'!N20)</f>
        <v>Estados Unidos-Bolivia</v>
      </c>
      <c r="C10" s="12" t="str">
        <f>CONCATENATE(IF('COPA AMERICA'!K20&gt;'COPA AMERICA'!L20,1,IF('COPA AMERICA'!K20&lt;'COPA AMERICA'!L20,2,IF(AND('COPA AMERICA'!K20='COPA AMERICA'!L20,'COPA AMERICA'!K20&lt;&gt;"",'COPA AMERICA'!L20&lt;&gt;""),"X",0))),"|",'COPA AMERICA'!K20,"-",'COPA AMERICA'!L20)</f>
        <v>0|-</v>
      </c>
      <c r="D10" s="674"/>
      <c r="E10" s="1"/>
      <c r="F10" s="1"/>
      <c r="G10" s="1"/>
      <c r="H10" s="1"/>
      <c r="I10" s="252"/>
      <c r="J10" s="1"/>
      <c r="K10" s="1"/>
      <c r="L10" s="1"/>
      <c r="M10" s="257"/>
      <c r="N10" s="258"/>
    </row>
    <row r="11" spans="1:14" ht="16.05" customHeight="1" x14ac:dyDescent="0.3">
      <c r="A11" s="239" t="s">
        <v>139</v>
      </c>
      <c r="B11" t="str">
        <f ca="1">CONCATENATE('COPA AMERICA'!I21,"-",'COPA AMERICA'!N21)</f>
        <v>Uruguay-Panamá</v>
      </c>
      <c r="C11" s="12" t="str">
        <f>CONCATENATE(IF('COPA AMERICA'!K21&gt;'COPA AMERICA'!L21,1,IF('COPA AMERICA'!K21&lt;'COPA AMERICA'!L21,2,IF(AND('COPA AMERICA'!K21='COPA AMERICA'!L21,'COPA AMERICA'!K21&lt;&gt;"",'COPA AMERICA'!L21&lt;&gt;""),"X",0))),"|",'COPA AMERICA'!K21,"-",'COPA AMERICA'!L21)</f>
        <v>0|-</v>
      </c>
      <c r="D11" s="674"/>
      <c r="E11" s="1"/>
      <c r="F11" s="1"/>
      <c r="G11" s="1"/>
      <c r="H11" s="1"/>
      <c r="I11" s="252"/>
      <c r="J11" s="1"/>
      <c r="K11" s="1"/>
      <c r="L11" s="1"/>
      <c r="M11" s="257"/>
      <c r="N11" s="258"/>
    </row>
    <row r="12" spans="1:14" ht="15" customHeight="1" x14ac:dyDescent="0.3">
      <c r="A12" s="222" t="s">
        <v>140</v>
      </c>
      <c r="B12" t="str">
        <f ca="1">CONCATENATE('COPA AMERICA'!I28,"-",'COPA AMERICA'!N28)</f>
        <v>Colombia-Paraguay</v>
      </c>
      <c r="C12" s="12" t="str">
        <f>CONCATENATE(IF('COPA AMERICA'!K28&gt;'COPA AMERICA'!L28,1,IF('COPA AMERICA'!K28&lt;'COPA AMERICA'!L28,2,IF(AND('COPA AMERICA'!K28='COPA AMERICA'!L28,'COPA AMERICA'!K28&lt;&gt;"",'COPA AMERICA'!L28&lt;&gt;""),"X",0))),"|",'COPA AMERICA'!K28,"-",'COPA AMERICA'!L28)</f>
        <v>0|-</v>
      </c>
      <c r="D12" s="674"/>
      <c r="E12" s="1"/>
      <c r="F12" s="1"/>
      <c r="G12" s="1"/>
      <c r="H12" s="1"/>
      <c r="I12" s="252"/>
      <c r="J12" s="1"/>
      <c r="K12" s="1"/>
      <c r="L12" s="1"/>
      <c r="M12" s="257"/>
      <c r="N12" s="258"/>
    </row>
    <row r="13" spans="1:14" ht="15" customHeight="1" x14ac:dyDescent="0.3">
      <c r="A13" s="222" t="s">
        <v>140</v>
      </c>
      <c r="B13" t="str">
        <f ca="1">CONCATENATE('COPA AMERICA'!I29,"-",'COPA AMERICA'!N29)</f>
        <v>Brasil-Costa Rica</v>
      </c>
      <c r="C13" s="12" t="str">
        <f>CONCATENATE(IF('COPA AMERICA'!K29&gt;'COPA AMERICA'!L29,1,IF('COPA AMERICA'!K29&lt;'COPA AMERICA'!L29,2,IF(AND('COPA AMERICA'!K29='COPA AMERICA'!L29,'COPA AMERICA'!K29&lt;&gt;"",'COPA AMERICA'!L29&lt;&gt;""),"X",0))),"|",'COPA AMERICA'!K29,"-",'COPA AMERICA'!L29)</f>
        <v>0|-</v>
      </c>
      <c r="D13" s="674"/>
      <c r="E13" s="1"/>
      <c r="F13" s="1"/>
      <c r="G13" s="1"/>
      <c r="H13" s="1"/>
      <c r="I13" s="252"/>
      <c r="J13" s="1"/>
      <c r="K13" s="1"/>
      <c r="L13" s="1"/>
      <c r="M13" s="257"/>
      <c r="N13" s="258"/>
    </row>
    <row r="14" spans="1:14" ht="15" customHeight="1" x14ac:dyDescent="0.3">
      <c r="A14" s="237" t="s">
        <v>142</v>
      </c>
      <c r="B14" t="str">
        <f ca="1">CONCATENATE('COPA AMERICA'!I6,"-",'COPA AMERICA'!N6)</f>
        <v>Perú-Canadá</v>
      </c>
      <c r="C14" s="12" t="str">
        <f>CONCATENATE(IF('COPA AMERICA'!K6&gt;'COPA AMERICA'!L6,1,IF('COPA AMERICA'!K6&lt;'COPA AMERICA'!L6,2,IF(AND('COPA AMERICA'!K6='COPA AMERICA'!L6,'COPA AMERICA'!K6&lt;&gt;"",'COPA AMERICA'!L6&lt;&gt;""),"X",0))),"|",'COPA AMERICA'!K6,"-",'COPA AMERICA'!L6)</f>
        <v>0|-</v>
      </c>
      <c r="D14" s="663" t="str">
        <f>Idiomas!D86</f>
        <v>J2</v>
      </c>
      <c r="E14" s="672" t="str">
        <f>Idiomas!D76</f>
        <v>·Para la segunda jornada selecciona de la C14 a la C21 y pega valores en la plantilla de administrador.</v>
      </c>
      <c r="F14" s="673"/>
      <c r="G14" s="673"/>
      <c r="H14" s="673"/>
      <c r="I14" s="252"/>
      <c r="J14" s="1"/>
      <c r="K14" s="1"/>
      <c r="L14" s="1"/>
      <c r="M14" s="257"/>
      <c r="N14" s="258"/>
    </row>
    <row r="15" spans="1:14" ht="15" customHeight="1" x14ac:dyDescent="0.3">
      <c r="A15" s="237" t="s">
        <v>142</v>
      </c>
      <c r="B15" t="str">
        <f ca="1">CONCATENATE('COPA AMERICA'!I7,"-",'COPA AMERICA'!N7)</f>
        <v>Chile-Argentina</v>
      </c>
      <c r="C15" s="12" t="str">
        <f>CONCATENATE(IF('COPA AMERICA'!K7&gt;'COPA AMERICA'!L7,1,IF('COPA AMERICA'!K7&lt;'COPA AMERICA'!L7,2,IF(AND('COPA AMERICA'!K7='COPA AMERICA'!L7,'COPA AMERICA'!K7&lt;&gt;"",'COPA AMERICA'!L7&lt;&gt;""),"X",0))),"|",'COPA AMERICA'!K7,"-",'COPA AMERICA'!L7)</f>
        <v>0|-</v>
      </c>
      <c r="D15" s="663"/>
      <c r="E15" s="672"/>
      <c r="F15" s="673"/>
      <c r="G15" s="673"/>
      <c r="H15" s="673"/>
      <c r="I15" s="252"/>
      <c r="J15" s="1"/>
      <c r="K15" s="1"/>
      <c r="L15" s="1"/>
      <c r="M15" s="257"/>
      <c r="N15" s="258"/>
    </row>
    <row r="16" spans="1:14" ht="15" customHeight="1" x14ac:dyDescent="0.3">
      <c r="A16" s="238" t="s">
        <v>143</v>
      </c>
      <c r="B16" t="str">
        <f ca="1">CONCATENATE('COPA AMERICA'!I14,"-",'COPA AMERICA'!N14)</f>
        <v>Ecuador-Jamaica</v>
      </c>
      <c r="C16" s="12" t="str">
        <f>CONCATENATE(IF('COPA AMERICA'!K14&gt;'COPA AMERICA'!L14,1,IF('COPA AMERICA'!K14&lt;'COPA AMERICA'!L14,2,IF(AND('COPA AMERICA'!K14='COPA AMERICA'!L14,'COPA AMERICA'!K14&lt;&gt;"",'COPA AMERICA'!L14&lt;&gt;""),"X",0))),"|",'COPA AMERICA'!K14,"-",'COPA AMERICA'!L14)</f>
        <v>0|-</v>
      </c>
      <c r="D16" s="663"/>
      <c r="E16" s="672"/>
      <c r="F16" s="673"/>
      <c r="G16" s="673"/>
      <c r="H16" s="673"/>
      <c r="I16" s="252"/>
      <c r="J16" s="1"/>
      <c r="K16" s="1"/>
      <c r="L16" s="1"/>
      <c r="M16" s="257"/>
      <c r="N16" s="258"/>
    </row>
    <row r="17" spans="1:14" ht="15" customHeight="1" x14ac:dyDescent="0.3">
      <c r="A17" s="238" t="s">
        <v>143</v>
      </c>
      <c r="B17" t="str">
        <f ca="1">CONCATENATE('COPA AMERICA'!I15,"-",'COPA AMERICA'!N15)</f>
        <v>Venezuela-México</v>
      </c>
      <c r="C17" s="12" t="str">
        <f>CONCATENATE(IF('COPA AMERICA'!K15&gt;'COPA AMERICA'!L15,1,IF('COPA AMERICA'!K15&lt;'COPA AMERICA'!L15,2,IF(AND('COPA AMERICA'!K15='COPA AMERICA'!L15,'COPA AMERICA'!K15&lt;&gt;"",'COPA AMERICA'!L15&lt;&gt;""),"X",0))),"|",'COPA AMERICA'!K15,"-",'COPA AMERICA'!L15)</f>
        <v>0|-</v>
      </c>
      <c r="D17" s="663"/>
      <c r="E17" s="672"/>
      <c r="F17" s="673"/>
      <c r="G17" s="673"/>
      <c r="H17" s="673"/>
      <c r="I17" s="252"/>
      <c r="J17" s="1"/>
      <c r="K17" s="1"/>
      <c r="L17" s="1"/>
      <c r="M17" s="257"/>
      <c r="N17" s="258"/>
    </row>
    <row r="18" spans="1:14" ht="15" customHeight="1" x14ac:dyDescent="0.3">
      <c r="A18" s="239" t="s">
        <v>144</v>
      </c>
      <c r="B18" t="str">
        <f ca="1">CONCATENATE('COPA AMERICA'!I22,"-",'COPA AMERICA'!N22)</f>
        <v>Panamá-Estados Unidos</v>
      </c>
      <c r="C18" s="12" t="str">
        <f>CONCATENATE(IF('COPA AMERICA'!K22&gt;'COPA AMERICA'!L22,1,IF('COPA AMERICA'!K22&lt;'COPA AMERICA'!L22,2,IF(AND('COPA AMERICA'!K22='COPA AMERICA'!L22,'COPA AMERICA'!K22&lt;&gt;"",'COPA AMERICA'!L22&lt;&gt;""),"X",0))),"|",'COPA AMERICA'!K22,"-",'COPA AMERICA'!L22)</f>
        <v>0|-</v>
      </c>
      <c r="D18" s="663"/>
      <c r="E18" s="1"/>
      <c r="F18" s="1"/>
      <c r="G18" s="1"/>
      <c r="H18" s="1"/>
      <c r="I18" s="252"/>
      <c r="J18" s="1"/>
      <c r="K18" s="1"/>
      <c r="L18" s="1"/>
      <c r="M18" s="257"/>
      <c r="N18" s="258"/>
    </row>
    <row r="19" spans="1:14" ht="16.05" customHeight="1" x14ac:dyDescent="0.3">
      <c r="A19" s="239" t="s">
        <v>144</v>
      </c>
      <c r="B19" t="str">
        <f ca="1">CONCATENATE('COPA AMERICA'!I23,"-",'COPA AMERICA'!N23)</f>
        <v>Uruguay-Bolivia</v>
      </c>
      <c r="C19" s="12" t="str">
        <f>CONCATENATE(IF('COPA AMERICA'!K23&gt;'COPA AMERICA'!L23,1,IF('COPA AMERICA'!K23&lt;'COPA AMERICA'!L23,2,IF(AND('COPA AMERICA'!K23='COPA AMERICA'!L23,'COPA AMERICA'!K23&lt;&gt;"",'COPA AMERICA'!L23&lt;&gt;""),"X",0))),"|",'COPA AMERICA'!K23,"-",'COPA AMERICA'!L23)</f>
        <v>0|-</v>
      </c>
      <c r="D19" s="663"/>
      <c r="E19" s="1"/>
      <c r="F19" s="1"/>
      <c r="G19" s="1"/>
      <c r="H19" s="1"/>
      <c r="I19" s="252"/>
      <c r="J19" s="1"/>
      <c r="K19" s="1"/>
      <c r="L19" s="1"/>
      <c r="M19" s="257"/>
      <c r="N19" s="258"/>
    </row>
    <row r="20" spans="1:14" ht="15" customHeight="1" x14ac:dyDescent="0.3">
      <c r="A20" s="222" t="s">
        <v>145</v>
      </c>
      <c r="B20" t="str">
        <f ca="1">CONCATENATE('COPA AMERICA'!I30,"-",'COPA AMERICA'!N30)</f>
        <v>Colombia-Costa Rica</v>
      </c>
      <c r="C20" s="12" t="str">
        <f>CONCATENATE(IF('COPA AMERICA'!K30&gt;'COPA AMERICA'!L30,1,IF('COPA AMERICA'!K30&lt;'COPA AMERICA'!L30,2,IF(AND('COPA AMERICA'!K30='COPA AMERICA'!L30,'COPA AMERICA'!K30&lt;&gt;"",'COPA AMERICA'!L30&lt;&gt;""),"X",0))),"|",'COPA AMERICA'!K30,"-",'COPA AMERICA'!L30)</f>
        <v>0|-</v>
      </c>
      <c r="D20" s="663"/>
      <c r="E20" s="1"/>
      <c r="F20" s="1"/>
      <c r="G20" s="1"/>
      <c r="H20" s="1"/>
      <c r="I20" s="252"/>
      <c r="J20" s="1"/>
      <c r="K20" s="1"/>
      <c r="L20" s="1"/>
      <c r="M20" s="257"/>
      <c r="N20" s="258"/>
    </row>
    <row r="21" spans="1:14" ht="15" customHeight="1" x14ac:dyDescent="0.3">
      <c r="A21" s="222" t="s">
        <v>145</v>
      </c>
      <c r="B21" t="str">
        <f ca="1">CONCATENATE('COPA AMERICA'!I31,"-",'COPA AMERICA'!N31)</f>
        <v>Paraguay-Brasil</v>
      </c>
      <c r="C21" s="12" t="str">
        <f>CONCATENATE(IF('COPA AMERICA'!K31&gt;'COPA AMERICA'!L31,1,IF('COPA AMERICA'!K31&lt;'COPA AMERICA'!L31,2,IF(AND('COPA AMERICA'!K31='COPA AMERICA'!L31,'COPA AMERICA'!K31&lt;&gt;"",'COPA AMERICA'!L31&lt;&gt;""),"X",0))),"|",'COPA AMERICA'!K31,"-",'COPA AMERICA'!L31)</f>
        <v>0|-</v>
      </c>
      <c r="D21" s="663"/>
      <c r="E21" s="1"/>
      <c r="F21" s="1"/>
      <c r="G21" s="1"/>
      <c r="H21" s="1"/>
      <c r="I21" s="252"/>
      <c r="J21" s="1"/>
      <c r="K21" s="1"/>
      <c r="L21" s="1"/>
      <c r="M21" s="257"/>
      <c r="N21" s="258"/>
    </row>
    <row r="22" spans="1:14" ht="15" customHeight="1" x14ac:dyDescent="0.3">
      <c r="A22" s="237" t="s">
        <v>146</v>
      </c>
      <c r="B22" t="str">
        <f ca="1">CONCATENATE('COPA AMERICA'!I8,"-",'COPA AMERICA'!N8)</f>
        <v>Argentina-Perú</v>
      </c>
      <c r="C22" s="12" t="str">
        <f>CONCATENATE(IF('COPA AMERICA'!K8&gt;'COPA AMERICA'!L8,1,IF('COPA AMERICA'!K8&lt;'COPA AMERICA'!L8,2,IF(AND('COPA AMERICA'!K8='COPA AMERICA'!L8,'COPA AMERICA'!K8&lt;&gt;"",'COPA AMERICA'!L8&lt;&gt;""),"X",0))),"|",'COPA AMERICA'!K8,"-",'COPA AMERICA'!L8)</f>
        <v>0|-</v>
      </c>
      <c r="D22" s="671" t="str">
        <f>Idiomas!D87</f>
        <v>J3</v>
      </c>
      <c r="E22" s="672" t="str">
        <f>Idiomas!D77</f>
        <v>·Para la tercera jornada selecciona de la C22 a la C57 y pega valores en la plantilla de administrador.</v>
      </c>
      <c r="F22" s="673"/>
      <c r="G22" s="673"/>
      <c r="H22" s="673"/>
      <c r="I22" s="252"/>
      <c r="J22" s="1"/>
      <c r="K22" s="1"/>
      <c r="L22" s="1"/>
      <c r="M22" s="257"/>
      <c r="N22" s="258"/>
    </row>
    <row r="23" spans="1:14" ht="15" customHeight="1" x14ac:dyDescent="0.3">
      <c r="A23" s="237" t="s">
        <v>146</v>
      </c>
      <c r="B23" t="str">
        <f ca="1">CONCATENATE('COPA AMERICA'!I9,"-",'COPA AMERICA'!N9)</f>
        <v>Canadá-Chile</v>
      </c>
      <c r="C23" s="12" t="str">
        <f>CONCATENATE(IF('COPA AMERICA'!K9&gt;'COPA AMERICA'!L9,1,IF('COPA AMERICA'!K9&lt;'COPA AMERICA'!L9,2,IF(AND('COPA AMERICA'!K9='COPA AMERICA'!L9,'COPA AMERICA'!K9&lt;&gt;"",'COPA AMERICA'!L9&lt;&gt;""),"X",0))),"|",'COPA AMERICA'!K9,"-",'COPA AMERICA'!L9)</f>
        <v>0|-</v>
      </c>
      <c r="D23" s="671"/>
      <c r="E23" s="672"/>
      <c r="F23" s="673"/>
      <c r="G23" s="673"/>
      <c r="H23" s="673"/>
      <c r="I23" s="252"/>
      <c r="J23" s="1"/>
      <c r="K23" s="1"/>
      <c r="L23" s="1"/>
      <c r="M23" s="257"/>
      <c r="N23" s="258"/>
    </row>
    <row r="24" spans="1:14" ht="15" customHeight="1" x14ac:dyDescent="0.3">
      <c r="A24" s="238" t="s">
        <v>147</v>
      </c>
      <c r="B24" t="str">
        <f ca="1">CONCATENATE('COPA AMERICA'!I16,"-",'COPA AMERICA'!N16)</f>
        <v>México-Ecuador</v>
      </c>
      <c r="C24" s="12" t="str">
        <f>CONCATENATE(IF('COPA AMERICA'!K16&gt;'COPA AMERICA'!L16,1,IF('COPA AMERICA'!K16&lt;'COPA AMERICA'!L16,2,IF(AND('COPA AMERICA'!K16='COPA AMERICA'!L16,'COPA AMERICA'!K16&lt;&gt;"",'COPA AMERICA'!L16&lt;&gt;""),"X",0))),"|",'COPA AMERICA'!K16,"-",'COPA AMERICA'!L16)</f>
        <v>0|-</v>
      </c>
      <c r="D24" s="671"/>
      <c r="E24" s="672"/>
      <c r="F24" s="673"/>
      <c r="G24" s="673"/>
      <c r="H24" s="673"/>
      <c r="I24" s="252"/>
      <c r="J24" s="1"/>
      <c r="K24" s="1"/>
      <c r="L24" s="1"/>
      <c r="M24" s="257"/>
      <c r="N24" s="258"/>
    </row>
    <row r="25" spans="1:14" ht="15" customHeight="1" x14ac:dyDescent="0.3">
      <c r="A25" s="238" t="s">
        <v>147</v>
      </c>
      <c r="B25" t="str">
        <f ca="1">CONCATENATE('COPA AMERICA'!I17,"-",'COPA AMERICA'!N17)</f>
        <v>Jamaica-Venezuela</v>
      </c>
      <c r="C25" s="12" t="str">
        <f>CONCATENATE(IF('COPA AMERICA'!K17&gt;'COPA AMERICA'!L17,1,IF('COPA AMERICA'!K17&lt;'COPA AMERICA'!L17,2,IF(AND('COPA AMERICA'!K17='COPA AMERICA'!L17,'COPA AMERICA'!K17&lt;&gt;"",'COPA AMERICA'!L17&lt;&gt;""),"X",0))),"|",'COPA AMERICA'!K17,"-",'COPA AMERICA'!L17)</f>
        <v>0|-</v>
      </c>
      <c r="D25" s="671"/>
      <c r="E25" s="672"/>
      <c r="F25" s="673"/>
      <c r="G25" s="673"/>
      <c r="H25" s="673"/>
      <c r="I25" s="252"/>
      <c r="J25" s="1"/>
      <c r="K25" s="1"/>
      <c r="L25" s="1"/>
      <c r="M25" s="257"/>
      <c r="N25" s="258"/>
    </row>
    <row r="26" spans="1:14" ht="15" customHeight="1" x14ac:dyDescent="0.3">
      <c r="A26" s="239" t="s">
        <v>148</v>
      </c>
      <c r="B26" t="str">
        <f ca="1">CONCATENATE('COPA AMERICA'!I24,"-",'COPA AMERICA'!N24)</f>
        <v>Estados Unidos-Uruguay</v>
      </c>
      <c r="C26" s="12" t="str">
        <f>CONCATENATE(IF('COPA AMERICA'!K24&gt;'COPA AMERICA'!L24,1,IF('COPA AMERICA'!K24&lt;'COPA AMERICA'!L24,2,IF(AND('COPA AMERICA'!K24='COPA AMERICA'!L24,'COPA AMERICA'!K24&lt;&gt;"",'COPA AMERICA'!L24&lt;&gt;""),"X",0))),"|",'COPA AMERICA'!K24,"-",'COPA AMERICA'!L24)</f>
        <v>0|-</v>
      </c>
      <c r="D26" s="671"/>
      <c r="E26" s="1"/>
      <c r="F26" s="1"/>
      <c r="G26" s="1"/>
      <c r="H26" s="1"/>
      <c r="I26" s="252"/>
      <c r="J26" s="1"/>
      <c r="K26" s="1"/>
      <c r="L26" s="1"/>
      <c r="M26" s="257"/>
      <c r="N26" s="258"/>
    </row>
    <row r="27" spans="1:14" ht="16.05" customHeight="1" x14ac:dyDescent="0.3">
      <c r="A27" s="239" t="s">
        <v>148</v>
      </c>
      <c r="B27" t="str">
        <f ca="1">CONCATENATE('COPA AMERICA'!I25,"-",'COPA AMERICA'!N25)</f>
        <v>Bolivia-Panamá</v>
      </c>
      <c r="C27" s="12" t="str">
        <f>CONCATENATE(IF('COPA AMERICA'!K25&gt;'COPA AMERICA'!L25,1,IF('COPA AMERICA'!K25&lt;'COPA AMERICA'!L25,2,IF(AND('COPA AMERICA'!K25='COPA AMERICA'!L25,'COPA AMERICA'!K25&lt;&gt;"",'COPA AMERICA'!L25&lt;&gt;""),"X",0))),"|",'COPA AMERICA'!K25,"-",'COPA AMERICA'!L25)</f>
        <v>0|-</v>
      </c>
      <c r="D27" s="671"/>
      <c r="E27" s="1"/>
      <c r="F27" s="1"/>
      <c r="G27" s="1"/>
      <c r="H27" s="1"/>
      <c r="I27" s="252"/>
      <c r="J27" s="1"/>
      <c r="K27" s="1"/>
      <c r="L27" s="1"/>
      <c r="M27" s="257"/>
      <c r="N27" s="258"/>
    </row>
    <row r="28" spans="1:14" ht="15" customHeight="1" x14ac:dyDescent="0.3">
      <c r="A28" s="222" t="s">
        <v>149</v>
      </c>
      <c r="B28" t="str">
        <f ca="1">CONCATENATE('COPA AMERICA'!I32,"-",'COPA AMERICA'!N32)</f>
        <v>Brasil-Colombia</v>
      </c>
      <c r="C28" s="12" t="str">
        <f>CONCATENATE(IF('COPA AMERICA'!K32&gt;'COPA AMERICA'!L32,1,IF('COPA AMERICA'!K32&lt;'COPA AMERICA'!L32,2,IF(AND('COPA AMERICA'!K32='COPA AMERICA'!L32,'COPA AMERICA'!K32&lt;&gt;"",'COPA AMERICA'!L32&lt;&gt;""),"X",0))),"|",'COPA AMERICA'!K32,"-",'COPA AMERICA'!L32)</f>
        <v>0|-</v>
      </c>
      <c r="D28" s="671"/>
      <c r="E28" s="1"/>
      <c r="F28" s="1"/>
      <c r="G28" s="1"/>
      <c r="H28" s="1"/>
      <c r="I28" s="252"/>
      <c r="J28" s="1"/>
      <c r="K28" s="1"/>
      <c r="L28" s="1"/>
      <c r="M28" s="257"/>
      <c r="N28" s="258"/>
    </row>
    <row r="29" spans="1:14" ht="15" customHeight="1" x14ac:dyDescent="0.3">
      <c r="A29" s="222" t="s">
        <v>149</v>
      </c>
      <c r="B29" t="str">
        <f ca="1">CONCATENATE('COPA AMERICA'!I33,"-",'COPA AMERICA'!N33)</f>
        <v>Costa Rica-Paraguay</v>
      </c>
      <c r="C29" s="12" t="str">
        <f>CONCATENATE(IF('COPA AMERICA'!K33&gt;'COPA AMERICA'!L33,1,IF('COPA AMERICA'!K33&lt;'COPA AMERICA'!L33,2,IF(AND('COPA AMERICA'!K33='COPA AMERICA'!L33,'COPA AMERICA'!K33&lt;&gt;"",'COPA AMERICA'!L33&lt;&gt;""),"X",0))),"|",'COPA AMERICA'!K33,"-",'COPA AMERICA'!L33)</f>
        <v>0|-</v>
      </c>
      <c r="D29" s="671"/>
      <c r="E29" s="1"/>
      <c r="F29" s="1"/>
      <c r="G29" s="1"/>
      <c r="H29" s="1"/>
      <c r="I29" s="252"/>
      <c r="J29" s="1"/>
      <c r="K29" s="1"/>
      <c r="L29" s="1"/>
      <c r="M29" s="257"/>
      <c r="N29" s="258"/>
    </row>
    <row r="30" spans="1:14" ht="15" customHeight="1" x14ac:dyDescent="0.3">
      <c r="C30" s="12"/>
      <c r="D30" s="671"/>
      <c r="E30" s="1"/>
      <c r="F30" s="1"/>
      <c r="G30" s="1"/>
      <c r="H30" s="1"/>
      <c r="I30" s="252"/>
      <c r="J30" s="1"/>
      <c r="K30" s="1"/>
      <c r="L30" s="1"/>
      <c r="M30" s="257"/>
      <c r="N30" s="258"/>
    </row>
    <row r="31" spans="1:14" ht="19.05" customHeight="1" x14ac:dyDescent="0.35">
      <c r="B31" s="10" t="str">
        <f>Idiomas!D89</f>
        <v>POSICIÓN GRUPOS</v>
      </c>
      <c r="C31" s="12"/>
      <c r="D31" s="671"/>
      <c r="E31" s="1"/>
      <c r="F31" s="1"/>
      <c r="G31" s="1"/>
      <c r="H31" s="1"/>
      <c r="I31" s="252"/>
      <c r="J31" s="1"/>
      <c r="K31" s="1"/>
      <c r="L31" s="1"/>
      <c r="M31" s="257"/>
      <c r="N31" s="258"/>
    </row>
    <row r="32" spans="1:14" ht="15" customHeight="1" x14ac:dyDescent="0.3">
      <c r="A32" s="666" t="s">
        <v>0</v>
      </c>
      <c r="B32" s="7" t="str">
        <f>Idiomas!D101</f>
        <v>1º GRUPO A</v>
      </c>
      <c r="C32" s="12" t="str">
        <f ca="1">IF(SUM('COPA AMERICA'!$T$6:$T$9)=12,'COPA AMERICA'!R6,B32)</f>
        <v>1º GRUPO A</v>
      </c>
      <c r="D32" s="671"/>
      <c r="E32" s="1"/>
      <c r="F32" s="1"/>
      <c r="G32" s="1"/>
      <c r="H32" s="1"/>
      <c r="I32" s="252"/>
      <c r="J32" s="1"/>
      <c r="K32" s="1"/>
      <c r="L32" s="1"/>
      <c r="M32" s="257"/>
      <c r="N32" s="258"/>
    </row>
    <row r="33" spans="1:14" ht="15" customHeight="1" x14ac:dyDescent="0.3">
      <c r="A33" s="666"/>
      <c r="B33" s="7" t="str">
        <f>Idiomas!D102</f>
        <v>2º GRUPO A</v>
      </c>
      <c r="C33" s="12" t="str">
        <f ca="1">IF(SUM('COPA AMERICA'!$T$6:$T$9)=12,'COPA AMERICA'!R7,B33)</f>
        <v>2º GRUPO A</v>
      </c>
      <c r="D33" s="671"/>
      <c r="E33" s="1"/>
      <c r="F33" s="1"/>
      <c r="G33" s="1"/>
      <c r="H33" s="1"/>
      <c r="I33" s="252"/>
      <c r="J33" s="1"/>
      <c r="K33" s="1"/>
      <c r="L33" s="1"/>
      <c r="M33" s="257"/>
      <c r="N33" s="258"/>
    </row>
    <row r="34" spans="1:14" ht="15" customHeight="1" x14ac:dyDescent="0.3">
      <c r="A34" s="666"/>
      <c r="B34" s="7" t="str">
        <f>Idiomas!D103</f>
        <v>3º GRUPO A</v>
      </c>
      <c r="C34" s="12" t="str">
        <f ca="1">IF(SUM('COPA AMERICA'!$T$6:$T$9)=12,'COPA AMERICA'!R8,B34)</f>
        <v>3º GRUPO A</v>
      </c>
      <c r="D34" s="671"/>
      <c r="E34" s="1"/>
      <c r="F34" s="1"/>
      <c r="G34" s="1"/>
      <c r="H34" s="1"/>
      <c r="I34" s="252"/>
      <c r="J34" s="1"/>
      <c r="K34" s="1"/>
      <c r="L34" s="1"/>
      <c r="M34" s="257"/>
      <c r="N34" s="258"/>
    </row>
    <row r="35" spans="1:14" ht="15" customHeight="1" x14ac:dyDescent="0.3">
      <c r="A35" s="666"/>
      <c r="B35" s="7" t="str">
        <f>Idiomas!D104</f>
        <v>4º GRUPO A</v>
      </c>
      <c r="C35" s="12" t="str">
        <f ca="1">IF(SUM('COPA AMERICA'!$T$6:$T$9)=12,'COPA AMERICA'!R9,B35)</f>
        <v>4º GRUPO A</v>
      </c>
      <c r="D35" s="671"/>
      <c r="E35" s="1"/>
      <c r="F35" s="1"/>
      <c r="G35" s="1"/>
      <c r="H35" s="1"/>
      <c r="I35" s="252"/>
      <c r="J35" s="1"/>
      <c r="K35" s="1"/>
      <c r="L35" s="1"/>
      <c r="M35" s="257"/>
      <c r="N35" s="258"/>
    </row>
    <row r="36" spans="1:14" ht="15" customHeight="1" x14ac:dyDescent="0.3">
      <c r="A36" s="667" t="s">
        <v>1</v>
      </c>
      <c r="B36" s="7" t="str">
        <f>Idiomas!D105</f>
        <v>1º GRUPO B</v>
      </c>
      <c r="C36" s="12" t="str">
        <f ca="1">IF(SUM('COPA AMERICA'!$T$14:$T$17)=12,'COPA AMERICA'!R14,B36)</f>
        <v>1º GRUPO B</v>
      </c>
      <c r="D36" s="671"/>
      <c r="E36" s="1"/>
      <c r="F36" s="1"/>
      <c r="G36" s="1"/>
      <c r="H36" s="1"/>
      <c r="I36" s="252"/>
      <c r="J36" s="1"/>
      <c r="K36" s="1"/>
      <c r="L36" s="1"/>
      <c r="M36" s="257"/>
      <c r="N36" s="258"/>
    </row>
    <row r="37" spans="1:14" ht="15" customHeight="1" x14ac:dyDescent="0.3">
      <c r="A37" s="667"/>
      <c r="B37" s="7" t="str">
        <f>Idiomas!D106</f>
        <v>2º GRUPO B</v>
      </c>
      <c r="C37" s="12" t="str">
        <f ca="1">IF(SUM('COPA AMERICA'!$T$14:$T$17)=12,'COPA AMERICA'!R15,B37)</f>
        <v>2º GRUPO B</v>
      </c>
      <c r="D37" s="671"/>
      <c r="E37" s="1"/>
      <c r="F37" s="1"/>
      <c r="G37" s="1"/>
      <c r="H37" s="1"/>
      <c r="I37" s="252"/>
      <c r="J37" s="1"/>
      <c r="K37" s="1"/>
      <c r="L37" s="1"/>
      <c r="M37" s="257"/>
      <c r="N37" s="258"/>
    </row>
    <row r="38" spans="1:14" ht="15" customHeight="1" x14ac:dyDescent="0.3">
      <c r="A38" s="667"/>
      <c r="B38" s="7" t="str">
        <f>Idiomas!D107</f>
        <v>3º GRUPO B</v>
      </c>
      <c r="C38" s="12" t="str">
        <f ca="1">IF(SUM('COPA AMERICA'!$T$14:$T$17)=12,'COPA AMERICA'!R16,B38)</f>
        <v>3º GRUPO B</v>
      </c>
      <c r="D38" s="671"/>
      <c r="E38" s="1"/>
      <c r="F38" s="1"/>
      <c r="G38" s="1"/>
      <c r="H38" s="1"/>
      <c r="I38" s="252"/>
      <c r="J38" s="1"/>
      <c r="K38" s="1"/>
      <c r="L38" s="1"/>
      <c r="M38" s="257"/>
      <c r="N38" s="258"/>
    </row>
    <row r="39" spans="1:14" ht="15" customHeight="1" x14ac:dyDescent="0.3">
      <c r="A39" s="667"/>
      <c r="B39" s="7" t="str">
        <f>Idiomas!D108</f>
        <v>4º GRUPO B</v>
      </c>
      <c r="C39" s="12" t="str">
        <f ca="1">IF(SUM('COPA AMERICA'!$T$14:$T$17)=12,'COPA AMERICA'!R17,B39)</f>
        <v>4º GRUPO B</v>
      </c>
      <c r="D39" s="671"/>
      <c r="E39" s="1"/>
      <c r="F39" s="1"/>
      <c r="G39" s="1"/>
      <c r="H39" s="1"/>
      <c r="I39" s="252"/>
      <c r="J39" s="1"/>
      <c r="K39" s="1"/>
      <c r="L39" s="1"/>
      <c r="M39" s="257"/>
      <c r="N39" s="258"/>
    </row>
    <row r="40" spans="1:14" ht="15" customHeight="1" x14ac:dyDescent="0.3">
      <c r="A40" s="668" t="s">
        <v>2</v>
      </c>
      <c r="B40" s="7" t="str">
        <f>Idiomas!D109</f>
        <v>1º GRUPO C</v>
      </c>
      <c r="C40" s="12" t="str">
        <f ca="1">IF(SUM('COPA AMERICA'!$T$22:$T$25)=12,'COPA AMERICA'!R22,B40)</f>
        <v>1º GRUPO C</v>
      </c>
      <c r="D40" s="671"/>
      <c r="E40" s="1"/>
      <c r="F40" s="1"/>
      <c r="G40" s="1"/>
      <c r="H40" s="1"/>
      <c r="I40" s="252"/>
      <c r="J40" s="1"/>
      <c r="K40" s="1"/>
      <c r="L40" s="1"/>
      <c r="M40" s="257"/>
      <c r="N40" s="258"/>
    </row>
    <row r="41" spans="1:14" ht="15" customHeight="1" x14ac:dyDescent="0.3">
      <c r="A41" s="668"/>
      <c r="B41" s="7" t="str">
        <f>Idiomas!D110</f>
        <v>2º GRUPO C</v>
      </c>
      <c r="C41" s="12" t="str">
        <f ca="1">IF(SUM('COPA AMERICA'!$T$22:$T$25)=12,'COPA AMERICA'!R23,B41)</f>
        <v>2º GRUPO C</v>
      </c>
      <c r="D41" s="671"/>
      <c r="E41" s="1"/>
      <c r="F41" s="1"/>
      <c r="G41" s="1"/>
      <c r="H41" s="1"/>
      <c r="I41" s="252"/>
      <c r="J41" s="1"/>
      <c r="K41" s="1"/>
      <c r="L41" s="1"/>
      <c r="M41" s="257"/>
      <c r="N41" s="258"/>
    </row>
    <row r="42" spans="1:14" ht="15" customHeight="1" x14ac:dyDescent="0.3">
      <c r="A42" s="668"/>
      <c r="B42" s="7" t="str">
        <f>Idiomas!D111</f>
        <v>3º GRUPO C</v>
      </c>
      <c r="C42" s="12" t="str">
        <f ca="1">IF(SUM('COPA AMERICA'!$T$22:$T$25)=12,'COPA AMERICA'!R24,B42)</f>
        <v>3º GRUPO C</v>
      </c>
      <c r="D42" s="671"/>
      <c r="E42" s="1"/>
      <c r="F42" s="1"/>
      <c r="G42" s="1"/>
      <c r="H42" s="1"/>
      <c r="I42" s="252"/>
      <c r="J42" s="1"/>
      <c r="K42" s="1"/>
      <c r="L42" s="1"/>
      <c r="M42" s="257"/>
      <c r="N42" s="258"/>
    </row>
    <row r="43" spans="1:14" ht="15" customHeight="1" x14ac:dyDescent="0.3">
      <c r="A43" s="668"/>
      <c r="B43" s="7" t="str">
        <f>Idiomas!D112</f>
        <v>4º GRUPO C</v>
      </c>
      <c r="C43" s="12" t="str">
        <f ca="1">IF(SUM('COPA AMERICA'!$T$22:$T$25)=12,'COPA AMERICA'!R25,B43)</f>
        <v>4º GRUPO C</v>
      </c>
      <c r="D43" s="671"/>
      <c r="E43" s="1"/>
      <c r="F43" s="1"/>
      <c r="G43" s="1"/>
      <c r="H43" s="1"/>
      <c r="I43" s="252"/>
      <c r="J43" s="1"/>
      <c r="K43" s="1"/>
      <c r="L43" s="1"/>
      <c r="M43" s="257"/>
      <c r="N43" s="258"/>
    </row>
    <row r="44" spans="1:14" ht="15" customHeight="1" x14ac:dyDescent="0.3">
      <c r="A44" s="664" t="s">
        <v>110</v>
      </c>
      <c r="B44" s="7" t="str">
        <f>Idiomas!D113</f>
        <v>1º GRUPO D</v>
      </c>
      <c r="C44" s="12" t="str">
        <f ca="1">IF(SUM('COPA AMERICA'!$T$30:$T$33)=12,'COPA AMERICA'!R30,B44)</f>
        <v>1º GRUPO D</v>
      </c>
      <c r="D44" s="671"/>
      <c r="E44" s="1"/>
      <c r="F44" s="1"/>
      <c r="G44" s="1"/>
      <c r="H44" s="1"/>
      <c r="I44" s="252"/>
      <c r="J44" s="1"/>
      <c r="K44" s="1"/>
      <c r="L44" s="1"/>
      <c r="M44" s="257"/>
      <c r="N44" s="258"/>
    </row>
    <row r="45" spans="1:14" ht="15" customHeight="1" x14ac:dyDescent="0.3">
      <c r="A45" s="664"/>
      <c r="B45" s="7" t="str">
        <f>Idiomas!D114</f>
        <v>2º GRUPO D</v>
      </c>
      <c r="C45" s="12" t="str">
        <f ca="1">IF(SUM('COPA AMERICA'!$T$30:$T$33)=12,'COPA AMERICA'!R31,B45)</f>
        <v>2º GRUPO D</v>
      </c>
      <c r="D45" s="671"/>
      <c r="E45" s="1"/>
      <c r="F45" s="1"/>
      <c r="G45" s="1"/>
      <c r="H45" s="1"/>
      <c r="I45" s="252"/>
      <c r="J45" s="1"/>
      <c r="K45" s="1"/>
      <c r="L45" s="1"/>
      <c r="M45" s="257"/>
      <c r="N45" s="258"/>
    </row>
    <row r="46" spans="1:14" ht="15" customHeight="1" x14ac:dyDescent="0.3">
      <c r="A46" s="664"/>
      <c r="B46" s="7" t="str">
        <f>Idiomas!D115</f>
        <v>3º GRUPO D</v>
      </c>
      <c r="C46" s="12" t="str">
        <f ca="1">IF(SUM('COPA AMERICA'!$T$30:$T$33)=12,'COPA AMERICA'!R32,B46)</f>
        <v>3º GRUPO D</v>
      </c>
      <c r="D46" s="671"/>
      <c r="E46" s="1"/>
      <c r="F46" s="1"/>
      <c r="G46" s="1"/>
      <c r="H46" s="1"/>
      <c r="I46" s="252"/>
      <c r="J46" s="1"/>
      <c r="K46" s="1"/>
      <c r="L46" s="1"/>
      <c r="M46" s="257"/>
      <c r="N46" s="258"/>
    </row>
    <row r="47" spans="1:14" ht="15" customHeight="1" x14ac:dyDescent="0.3">
      <c r="A47" s="664"/>
      <c r="B47" s="7" t="str">
        <f>Idiomas!D116</f>
        <v>4º GRUPO D</v>
      </c>
      <c r="C47" s="12" t="str">
        <f ca="1">IF(SUM('COPA AMERICA'!$T$30:$T$33)=12,'COPA AMERICA'!R33,B47)</f>
        <v>4º GRUPO D</v>
      </c>
      <c r="D47" s="671"/>
      <c r="E47" s="1"/>
      <c r="F47" s="1"/>
      <c r="G47" s="1"/>
      <c r="H47" s="1"/>
      <c r="I47" s="252"/>
      <c r="J47" s="1"/>
      <c r="K47" s="1"/>
      <c r="L47" s="1"/>
      <c r="M47" s="257"/>
      <c r="N47" s="258"/>
    </row>
    <row r="48" spans="1:14" ht="15" customHeight="1" x14ac:dyDescent="0.3">
      <c r="C48" s="12"/>
      <c r="D48" s="671"/>
      <c r="E48" s="1"/>
      <c r="F48" s="1"/>
      <c r="G48" s="1"/>
      <c r="H48" s="1"/>
      <c r="I48" s="252"/>
      <c r="J48" s="1"/>
      <c r="K48" s="1"/>
      <c r="L48" s="1"/>
      <c r="M48" s="257"/>
      <c r="N48" s="258"/>
    </row>
    <row r="49" spans="1:14" ht="19.05" customHeight="1" x14ac:dyDescent="0.35">
      <c r="B49" s="10" t="str">
        <f>Idiomas!D92</f>
        <v>CLASIFICADOS PARA CUARTOS</v>
      </c>
      <c r="C49" s="12"/>
      <c r="D49" s="671"/>
      <c r="E49" s="1"/>
      <c r="F49" s="1"/>
      <c r="G49" s="1"/>
      <c r="H49" s="1"/>
      <c r="I49" s="252"/>
      <c r="J49" s="1"/>
      <c r="K49" s="1"/>
      <c r="L49" s="1"/>
      <c r="M49" s="257"/>
      <c r="N49" s="258"/>
    </row>
    <row r="50" spans="1:14" ht="15" customHeight="1" x14ac:dyDescent="0.3">
      <c r="A50" s="665" t="s">
        <v>68</v>
      </c>
      <c r="B50" s="7" t="str">
        <f>Idiomas!$D$126</f>
        <v>Cuartofinalista</v>
      </c>
      <c r="C50" s="12" t="str">
        <f ca="1">'COPA AMERICA'!I37</f>
        <v>1A</v>
      </c>
      <c r="D50" s="671"/>
      <c r="E50" s="1"/>
      <c r="F50" s="1"/>
      <c r="G50" s="1"/>
      <c r="H50" s="1"/>
      <c r="I50" s="252"/>
      <c r="J50" s="1"/>
      <c r="K50" s="1"/>
      <c r="L50" s="1"/>
      <c r="M50" s="257"/>
      <c r="N50" s="258"/>
    </row>
    <row r="51" spans="1:14" ht="15" customHeight="1" x14ac:dyDescent="0.3">
      <c r="A51" s="665"/>
      <c r="B51" s="7" t="str">
        <f>B50</f>
        <v>Cuartofinalista</v>
      </c>
      <c r="C51" s="12" t="str">
        <f ca="1">'COPA AMERICA'!I38</f>
        <v>1B</v>
      </c>
      <c r="D51" s="671"/>
      <c r="E51" s="1"/>
      <c r="F51" s="1"/>
      <c r="G51" s="1"/>
      <c r="H51" s="1"/>
      <c r="I51" s="252"/>
      <c r="J51" s="1"/>
      <c r="K51" s="1"/>
      <c r="L51" s="1"/>
      <c r="M51" s="257"/>
      <c r="N51" s="258"/>
    </row>
    <row r="52" spans="1:14" ht="15" customHeight="1" x14ac:dyDescent="0.3">
      <c r="A52" s="665"/>
      <c r="B52" s="7" t="str">
        <f t="shared" ref="B52:B57" si="0">B51</f>
        <v>Cuartofinalista</v>
      </c>
      <c r="C52" s="12" t="str">
        <f ca="1">'COPA AMERICA'!I39</f>
        <v>1D</v>
      </c>
      <c r="D52" s="671"/>
      <c r="E52" s="1"/>
      <c r="F52" s="1"/>
      <c r="G52" s="1"/>
      <c r="H52" s="1"/>
      <c r="I52" s="252"/>
      <c r="J52" s="1"/>
      <c r="K52" s="1"/>
      <c r="L52" s="1"/>
      <c r="M52" s="257"/>
      <c r="N52" s="258"/>
    </row>
    <row r="53" spans="1:14" ht="15" customHeight="1" x14ac:dyDescent="0.3">
      <c r="A53" s="665"/>
      <c r="B53" s="7" t="str">
        <f t="shared" si="0"/>
        <v>Cuartofinalista</v>
      </c>
      <c r="C53" s="12" t="str">
        <f ca="1">'COPA AMERICA'!I40</f>
        <v>1C</v>
      </c>
      <c r="D53" s="671"/>
      <c r="E53" s="1"/>
      <c r="F53" s="1"/>
      <c r="G53" s="1"/>
      <c r="H53" s="1"/>
      <c r="I53" s="243"/>
      <c r="J53" s="1"/>
      <c r="K53" s="1"/>
      <c r="L53" s="1"/>
      <c r="M53" s="257"/>
      <c r="N53" s="258"/>
    </row>
    <row r="54" spans="1:14" ht="15" customHeight="1" x14ac:dyDescent="0.3">
      <c r="A54" s="665"/>
      <c r="B54" s="7" t="str">
        <f t="shared" si="0"/>
        <v>Cuartofinalista</v>
      </c>
      <c r="C54" s="12" t="str">
        <f ca="1">'COPA AMERICA'!N37</f>
        <v>2B</v>
      </c>
      <c r="D54" s="671"/>
      <c r="E54" s="1"/>
      <c r="F54" s="1"/>
      <c r="G54" s="1"/>
      <c r="H54" s="1"/>
      <c r="I54" s="243"/>
      <c r="J54" s="1"/>
      <c r="K54" s="1"/>
      <c r="L54" s="1"/>
      <c r="M54" s="257"/>
      <c r="N54" s="258"/>
    </row>
    <row r="55" spans="1:14" ht="15" customHeight="1" x14ac:dyDescent="0.3">
      <c r="A55" s="665"/>
      <c r="B55" s="7" t="str">
        <f t="shared" si="0"/>
        <v>Cuartofinalista</v>
      </c>
      <c r="C55" s="12" t="str">
        <f ca="1">'COPA AMERICA'!N38</f>
        <v>2A</v>
      </c>
      <c r="D55" s="671"/>
      <c r="E55" s="1"/>
      <c r="F55" s="1"/>
      <c r="G55" s="1"/>
      <c r="H55" s="1"/>
      <c r="I55" s="243"/>
      <c r="J55" s="1"/>
      <c r="K55" s="1"/>
      <c r="L55" s="1"/>
      <c r="M55" s="257"/>
      <c r="N55" s="258"/>
    </row>
    <row r="56" spans="1:14" ht="15" customHeight="1" x14ac:dyDescent="0.3">
      <c r="A56" s="665"/>
      <c r="B56" s="7" t="str">
        <f t="shared" si="0"/>
        <v>Cuartofinalista</v>
      </c>
      <c r="C56" s="12" t="str">
        <f ca="1">'COPA AMERICA'!N39</f>
        <v>2C</v>
      </c>
      <c r="D56" s="671"/>
      <c r="E56" s="1"/>
      <c r="F56" s="1"/>
      <c r="G56" s="1"/>
      <c r="H56" s="1"/>
      <c r="I56" s="243"/>
      <c r="J56" s="1"/>
      <c r="K56" s="1"/>
      <c r="L56" s="1"/>
      <c r="M56" s="257"/>
      <c r="N56" s="258"/>
    </row>
    <row r="57" spans="1:14" ht="15" customHeight="1" x14ac:dyDescent="0.3">
      <c r="A57" s="665"/>
      <c r="B57" s="7" t="str">
        <f t="shared" si="0"/>
        <v>Cuartofinalista</v>
      </c>
      <c r="C57" s="12" t="str">
        <f ca="1">'COPA AMERICA'!N40</f>
        <v>2D</v>
      </c>
      <c r="D57" s="671"/>
      <c r="E57" s="245"/>
      <c r="F57" s="245"/>
      <c r="G57" s="245"/>
      <c r="H57" s="245"/>
      <c r="I57" s="243"/>
      <c r="J57" s="1"/>
      <c r="K57" s="1"/>
      <c r="L57" s="1"/>
      <c r="M57" s="257"/>
      <c r="N57" s="258"/>
    </row>
    <row r="58" spans="1:14" x14ac:dyDescent="0.3">
      <c r="C58" s="12"/>
      <c r="D58" s="1"/>
      <c r="E58" s="650" t="str">
        <f>Idiomas!D78</f>
        <v>·Si haceis todas las eliminatorias de golpe, copiar de la C60 a la C92 y pegar valores en la plantilla de Administrador.</v>
      </c>
      <c r="F58" s="651"/>
      <c r="G58" s="651"/>
      <c r="H58" s="651"/>
      <c r="I58" s="651"/>
      <c r="J58" s="651"/>
      <c r="K58" s="651"/>
      <c r="L58" s="652"/>
      <c r="M58" s="273"/>
      <c r="N58" s="258"/>
    </row>
    <row r="59" spans="1:14" ht="19.05" customHeight="1" x14ac:dyDescent="0.35">
      <c r="B59" s="10" t="str">
        <f>Idiomas!D93</f>
        <v>ENFRENTAMIENTOS CUARTOS</v>
      </c>
      <c r="C59" s="12"/>
      <c r="D59" s="1"/>
      <c r="E59" s="653" t="str">
        <f>Idiomas!D79</f>
        <v>·Si haceis eliminatoria a eliminatoria seguir las instrucciones de cada eliminatoria.</v>
      </c>
      <c r="F59" s="654"/>
      <c r="G59" s="654"/>
      <c r="H59" s="654"/>
      <c r="I59" s="654"/>
      <c r="J59" s="654"/>
      <c r="K59" s="654"/>
      <c r="L59" s="655"/>
      <c r="M59" s="273"/>
      <c r="N59" s="258"/>
    </row>
    <row r="60" spans="1:14" ht="15" customHeight="1" x14ac:dyDescent="0.3">
      <c r="A60" s="665" t="s">
        <v>68</v>
      </c>
      <c r="B60" t="str">
        <f ca="1">CONCATENATE('COPA AMERICA'!I37,"-",'COPA AMERICA'!N37)</f>
        <v>1A-2B</v>
      </c>
      <c r="C60" s="13" t="str">
        <f ca="1">CONCATENATE('COPA AMERICA'!I37,"-",'COPA AMERICA'!N37,"·",IF('COPA AMERICA'!K37&gt;'COPA AMERICA'!L37,1,IF('COPA AMERICA'!K37&lt;'COPA AMERICA'!L37,2,IF(AND('COPA AMERICA'!K37='COPA AMERICA'!L37,'COPA AMERICA'!K37&lt;&gt;"",'COPA AMERICA'!L37&lt;&gt;""),"X",0))),"|",'COPA AMERICA'!K37,"-",'COPA AMERICA'!L37)</f>
        <v>1A-2B·0|-</v>
      </c>
      <c r="D60" s="656" t="s">
        <v>68</v>
      </c>
      <c r="E60" s="672" t="str">
        <f>Idiomas!D81</f>
        <v>·Para los cuartos selecciona de la C60 a la C69 y pega valores en la plantilla de administrador.</v>
      </c>
      <c r="F60" s="673"/>
      <c r="G60" s="673"/>
      <c r="H60" s="673"/>
      <c r="I60" s="243"/>
      <c r="J60" s="1"/>
      <c r="K60" s="1"/>
      <c r="L60" s="1"/>
      <c r="M60" s="242"/>
      <c r="N60" s="258"/>
    </row>
    <row r="61" spans="1:14" ht="15" customHeight="1" x14ac:dyDescent="0.3">
      <c r="A61" s="669"/>
      <c r="B61" t="str">
        <f ca="1">CONCATENATE('COPA AMERICA'!I38,"-",'COPA AMERICA'!N38)</f>
        <v>1B-2A</v>
      </c>
      <c r="C61" s="13" t="str">
        <f ca="1">CONCATENATE('COPA AMERICA'!I38,"-",'COPA AMERICA'!N38,"·",IF('COPA AMERICA'!K38&gt;'COPA AMERICA'!L38,1,IF('COPA AMERICA'!K38&lt;'COPA AMERICA'!L38,2,IF(AND('COPA AMERICA'!K38='COPA AMERICA'!L38,'COPA AMERICA'!K38&lt;&gt;"",'COPA AMERICA'!L38&lt;&gt;""),"X",0))),"|",'COPA AMERICA'!K38,"-",'COPA AMERICA'!L38)</f>
        <v>1B-2A·0|-</v>
      </c>
      <c r="D61" s="656"/>
      <c r="E61" s="672"/>
      <c r="F61" s="673"/>
      <c r="G61" s="673"/>
      <c r="H61" s="673"/>
      <c r="I61" s="243"/>
      <c r="J61" s="1"/>
      <c r="K61" s="1"/>
      <c r="L61" s="1"/>
      <c r="M61" s="242"/>
      <c r="N61" s="258"/>
    </row>
    <row r="62" spans="1:14" ht="15" customHeight="1" x14ac:dyDescent="0.3">
      <c r="A62" s="669"/>
      <c r="B62" t="str">
        <f ca="1">CONCATENATE('COPA AMERICA'!I39,"-",'COPA AMERICA'!N39)</f>
        <v>1D-2C</v>
      </c>
      <c r="C62" s="13" t="str">
        <f ca="1">CONCATENATE('COPA AMERICA'!I39,"-",'COPA AMERICA'!N39,"·",IF('COPA AMERICA'!K39&gt;'COPA AMERICA'!L39,1,IF('COPA AMERICA'!K39&lt;'COPA AMERICA'!L39,2,IF(AND('COPA AMERICA'!K39='COPA AMERICA'!L39,'COPA AMERICA'!K39&lt;&gt;"",'COPA AMERICA'!L39&lt;&gt;""),"X",0))),"|",'COPA AMERICA'!K39,"-",'COPA AMERICA'!L39)</f>
        <v>1D-2C·0|-</v>
      </c>
      <c r="D62" s="656"/>
      <c r="E62" s="672"/>
      <c r="F62" s="673"/>
      <c r="G62" s="673"/>
      <c r="H62" s="673"/>
      <c r="I62" s="243"/>
      <c r="J62" s="1"/>
      <c r="K62" s="1"/>
      <c r="L62" s="1"/>
      <c r="M62" s="242"/>
      <c r="N62" s="258"/>
    </row>
    <row r="63" spans="1:14" ht="15" customHeight="1" x14ac:dyDescent="0.3">
      <c r="A63" s="669"/>
      <c r="B63" t="str">
        <f ca="1">CONCATENATE('COPA AMERICA'!I40,"-",'COPA AMERICA'!N40)</f>
        <v>1C-2D</v>
      </c>
      <c r="C63" s="13" t="str">
        <f ca="1">CONCATENATE('COPA AMERICA'!I40,"-",'COPA AMERICA'!N40,"·",IF('COPA AMERICA'!K40&gt;'COPA AMERICA'!L40,1,IF('COPA AMERICA'!K40&lt;'COPA AMERICA'!L40,2,IF(AND('COPA AMERICA'!K40='COPA AMERICA'!L40,'COPA AMERICA'!K40&lt;&gt;"",'COPA AMERICA'!L40&lt;&gt;""),"X",0))),"|",'COPA AMERICA'!K40,"-",'COPA AMERICA'!L40)</f>
        <v>1C-2D·0|-</v>
      </c>
      <c r="D63" s="656"/>
      <c r="E63" s="672"/>
      <c r="F63" s="673"/>
      <c r="G63" s="673"/>
      <c r="H63" s="673"/>
      <c r="I63" s="243"/>
      <c r="J63" s="1"/>
      <c r="K63" s="1"/>
      <c r="L63" s="1"/>
      <c r="M63" s="242"/>
      <c r="N63" s="258"/>
    </row>
    <row r="64" spans="1:14" x14ac:dyDescent="0.3">
      <c r="C64" s="12"/>
      <c r="D64" s="656"/>
      <c r="E64" s="1"/>
      <c r="F64" s="1"/>
      <c r="G64" s="1"/>
      <c r="H64" s="1"/>
      <c r="I64" s="243"/>
      <c r="J64" s="1"/>
      <c r="K64" s="1"/>
      <c r="L64" s="1"/>
      <c r="M64" s="242"/>
      <c r="N64" s="258"/>
    </row>
    <row r="65" spans="1:14" ht="18" x14ac:dyDescent="0.35">
      <c r="B65" s="10" t="str">
        <f>Idiomas!D94</f>
        <v>CLASIFICADOS PARA SEMIFINALES</v>
      </c>
      <c r="C65" s="12"/>
      <c r="D65" s="656"/>
      <c r="E65" s="1"/>
      <c r="F65" s="1"/>
      <c r="G65" s="1"/>
      <c r="H65" s="1"/>
      <c r="I65" s="243"/>
      <c r="J65" s="1"/>
      <c r="K65" s="1"/>
      <c r="L65" s="1"/>
      <c r="M65" s="242"/>
      <c r="N65" s="258"/>
    </row>
    <row r="66" spans="1:14" x14ac:dyDescent="0.3">
      <c r="A66" s="665" t="s">
        <v>69</v>
      </c>
      <c r="B66" s="7" t="str">
        <f>Idiomas!$D$127</f>
        <v>Semifinalista</v>
      </c>
      <c r="C66" s="12" t="str">
        <f>'COPA AMERICA'!I44</f>
        <v>W25</v>
      </c>
      <c r="D66" s="656"/>
      <c r="E66" s="1"/>
      <c r="F66" s="1"/>
      <c r="G66" s="1"/>
      <c r="H66" s="1"/>
      <c r="I66" s="243"/>
      <c r="J66" s="1"/>
      <c r="K66" s="1"/>
      <c r="L66" s="1"/>
      <c r="M66" s="242"/>
      <c r="N66" s="258"/>
    </row>
    <row r="67" spans="1:14" x14ac:dyDescent="0.3">
      <c r="A67" s="669"/>
      <c r="B67" s="7" t="str">
        <f>B66</f>
        <v>Semifinalista</v>
      </c>
      <c r="C67" s="12" t="str">
        <f>'COPA AMERICA'!I45</f>
        <v>W27</v>
      </c>
      <c r="D67" s="656"/>
      <c r="E67" s="1"/>
      <c r="F67" s="1"/>
      <c r="G67" s="1"/>
      <c r="H67" s="1"/>
      <c r="I67" s="243"/>
      <c r="J67" s="1"/>
      <c r="K67" s="1"/>
      <c r="L67" s="1"/>
      <c r="M67" s="242"/>
      <c r="N67" s="258"/>
    </row>
    <row r="68" spans="1:14" x14ac:dyDescent="0.3">
      <c r="A68" s="669"/>
      <c r="B68" s="7" t="str">
        <f t="shared" ref="B68:B69" si="1">B67</f>
        <v>Semifinalista</v>
      </c>
      <c r="C68" s="12" t="str">
        <f>'COPA AMERICA'!N44</f>
        <v>W26</v>
      </c>
      <c r="D68" s="656"/>
      <c r="E68" s="1"/>
      <c r="F68" s="1"/>
      <c r="G68" s="1"/>
      <c r="H68" s="1"/>
      <c r="I68" s="243"/>
      <c r="J68" s="1"/>
      <c r="K68" s="1"/>
      <c r="L68" s="1"/>
      <c r="M68" s="242"/>
      <c r="N68" s="258"/>
    </row>
    <row r="69" spans="1:14" x14ac:dyDescent="0.3">
      <c r="A69" s="669"/>
      <c r="B69" s="7" t="str">
        <f t="shared" si="1"/>
        <v>Semifinalista</v>
      </c>
      <c r="C69" s="12" t="str">
        <f>'COPA AMERICA'!N45</f>
        <v>W28</v>
      </c>
      <c r="D69" s="656"/>
      <c r="E69" s="245"/>
      <c r="F69" s="245"/>
      <c r="G69" s="245"/>
      <c r="H69" s="245"/>
      <c r="I69" s="243"/>
      <c r="J69" s="1"/>
      <c r="K69" s="1"/>
      <c r="L69" s="1"/>
      <c r="M69" s="242"/>
      <c r="N69" s="258"/>
    </row>
    <row r="70" spans="1:14" x14ac:dyDescent="0.3">
      <c r="C70" s="12"/>
      <c r="D70" s="1"/>
      <c r="E70" s="1"/>
      <c r="F70" s="1"/>
      <c r="G70" s="1"/>
      <c r="H70" s="1"/>
      <c r="I70" s="246"/>
      <c r="J70" s="1"/>
      <c r="K70" s="1"/>
      <c r="L70" s="1"/>
      <c r="M70" s="242"/>
      <c r="N70" s="258"/>
    </row>
    <row r="71" spans="1:14" ht="19.05" customHeight="1" x14ac:dyDescent="0.35">
      <c r="B71" s="10" t="str">
        <f>Idiomas!D95</f>
        <v>ENFRENTAMIENTOS SEMIFINALES</v>
      </c>
      <c r="C71" s="12"/>
      <c r="D71" s="1"/>
      <c r="E71" s="1"/>
      <c r="F71" s="1"/>
      <c r="G71" s="1"/>
      <c r="H71" s="1"/>
      <c r="I71" s="244"/>
      <c r="J71" s="1"/>
      <c r="K71" s="1"/>
      <c r="L71" s="1"/>
      <c r="M71" s="242"/>
      <c r="N71" s="258"/>
    </row>
    <row r="72" spans="1:14" ht="15" customHeight="1" x14ac:dyDescent="0.3">
      <c r="A72" s="670" t="s">
        <v>69</v>
      </c>
      <c r="B72" t="str">
        <f>CONCATENATE('COPA AMERICA'!I44,"-",'COPA AMERICA'!N44)</f>
        <v>W25-W26</v>
      </c>
      <c r="C72" s="13" t="str">
        <f>CONCATENATE('COPA AMERICA'!I44,"-",'COPA AMERICA'!N44,"·",IF('COPA AMERICA'!K44&gt;'COPA AMERICA'!L44,1,IF('COPA AMERICA'!K44&lt;'COPA AMERICA'!L44,2,IF(AND('COPA AMERICA'!K44='COPA AMERICA'!L44,'COPA AMERICA'!K44&lt;&gt;"",'COPA AMERICA'!L44&lt;&gt;""),"X",0))),"|",'COPA AMERICA'!K44,"-",'COPA AMERICA'!L44)</f>
        <v>W25-W26·0|-</v>
      </c>
      <c r="D72" s="656" t="s">
        <v>69</v>
      </c>
      <c r="E72" s="657" t="str">
        <f>Idiomas!D82</f>
        <v>·Para las semifinales selecciona de la C72 a la C81 y pega valores en la plantilla de administrador.</v>
      </c>
      <c r="F72" s="658"/>
      <c r="G72" s="658"/>
      <c r="H72" s="658"/>
      <c r="I72" s="243"/>
      <c r="J72" s="1"/>
      <c r="K72" s="1"/>
      <c r="L72" s="1"/>
      <c r="M72" s="242"/>
      <c r="N72" s="258"/>
    </row>
    <row r="73" spans="1:14" ht="15" customHeight="1" x14ac:dyDescent="0.3">
      <c r="A73" s="670"/>
      <c r="B73" t="str">
        <f>CONCATENATE('COPA AMERICA'!I45,"-",'COPA AMERICA'!N45)</f>
        <v>W27-W28</v>
      </c>
      <c r="C73" s="13" t="str">
        <f>CONCATENATE('COPA AMERICA'!I45,"-",'COPA AMERICA'!N45,"·",IF('COPA AMERICA'!K45&gt;'COPA AMERICA'!L45,1,IF('COPA AMERICA'!K45&lt;'COPA AMERICA'!L45,2,IF(AND('COPA AMERICA'!K45='COPA AMERICA'!L45,'COPA AMERICA'!K45&lt;&gt;"",'COPA AMERICA'!L45&lt;&gt;""),"X",0))),"|",'COPA AMERICA'!K45,"-",'COPA AMERICA'!L45)</f>
        <v>W27-W28·0|-</v>
      </c>
      <c r="D73" s="656"/>
      <c r="E73" s="657"/>
      <c r="F73" s="658"/>
      <c r="G73" s="658"/>
      <c r="H73" s="658"/>
      <c r="I73" s="243"/>
      <c r="J73" s="1"/>
      <c r="K73" s="1"/>
      <c r="L73" s="1"/>
      <c r="M73" s="242"/>
      <c r="N73" s="258"/>
    </row>
    <row r="74" spans="1:14" ht="15" customHeight="1" x14ac:dyDescent="0.3">
      <c r="C74" s="12"/>
      <c r="D74" s="656"/>
      <c r="E74" s="657"/>
      <c r="F74" s="658"/>
      <c r="G74" s="658"/>
      <c r="H74" s="658"/>
      <c r="I74" s="243"/>
      <c r="J74" s="1"/>
      <c r="K74" s="1"/>
      <c r="L74" s="1"/>
      <c r="M74" s="242"/>
      <c r="N74" s="258"/>
    </row>
    <row r="75" spans="1:14" ht="15" customHeight="1" x14ac:dyDescent="0.35">
      <c r="B75" s="10" t="str">
        <f>Idiomas!D96</f>
        <v>CLASIFICADOS PARA EL 3º y 4º PUESTO</v>
      </c>
      <c r="C75" s="12"/>
      <c r="D75" s="656"/>
      <c r="E75" s="657"/>
      <c r="F75" s="658"/>
      <c r="G75" s="658"/>
      <c r="H75" s="658"/>
      <c r="I75" s="243"/>
      <c r="J75" s="1"/>
      <c r="K75" s="1"/>
      <c r="L75" s="1"/>
      <c r="M75" s="242"/>
      <c r="N75" s="258"/>
    </row>
    <row r="76" spans="1:14" ht="15" customHeight="1" x14ac:dyDescent="0.3">
      <c r="A76" s="662" t="s">
        <v>469</v>
      </c>
      <c r="B76" t="str">
        <f>Idiomas!D128</f>
        <v>3º y 4º puesto (1)</v>
      </c>
      <c r="C76" s="12" t="str">
        <f>'COPA AMERICA'!I49</f>
        <v>L29</v>
      </c>
      <c r="D76" s="656"/>
      <c r="E76" s="274"/>
      <c r="F76" s="275"/>
      <c r="G76" s="275"/>
      <c r="H76" s="275"/>
      <c r="I76" s="243"/>
      <c r="J76" s="1"/>
      <c r="K76" s="1"/>
      <c r="L76" s="1"/>
      <c r="M76" s="242"/>
      <c r="N76" s="258"/>
    </row>
    <row r="77" spans="1:14" ht="15" customHeight="1" x14ac:dyDescent="0.3">
      <c r="A77" s="662"/>
      <c r="B77" t="str">
        <f>Idiomas!D129</f>
        <v>3º y 4º puesto (2)</v>
      </c>
      <c r="C77" s="12" t="str">
        <f>'COPA AMERICA'!N49</f>
        <v>L30</v>
      </c>
      <c r="D77" s="656"/>
      <c r="E77" s="274"/>
      <c r="F77" s="275"/>
      <c r="G77" s="275"/>
      <c r="H77" s="275"/>
      <c r="I77" s="243"/>
      <c r="J77" s="1"/>
      <c r="K77" s="1"/>
      <c r="L77" s="1"/>
      <c r="M77" s="242"/>
      <c r="N77" s="258"/>
    </row>
    <row r="78" spans="1:14" ht="15" customHeight="1" x14ac:dyDescent="0.3">
      <c r="C78" s="12"/>
      <c r="D78" s="656"/>
      <c r="E78" s="274"/>
      <c r="F78" s="275"/>
      <c r="G78" s="275"/>
      <c r="H78" s="275"/>
      <c r="I78" s="243"/>
      <c r="J78" s="1"/>
      <c r="K78" s="1"/>
      <c r="L78" s="1"/>
      <c r="M78" s="242"/>
      <c r="N78" s="258"/>
    </row>
    <row r="79" spans="1:14" ht="19.05" customHeight="1" x14ac:dyDescent="0.35">
      <c r="B79" s="10" t="str">
        <f>Idiomas!D97</f>
        <v>CLASIFICADOS PARA LA FINAL</v>
      </c>
      <c r="C79" s="12"/>
      <c r="D79" s="656"/>
      <c r="E79" s="274"/>
      <c r="F79" s="275"/>
      <c r="G79" s="275"/>
      <c r="H79" s="275"/>
      <c r="I79" s="243"/>
      <c r="J79" s="1"/>
      <c r="K79" s="1"/>
      <c r="L79" s="1"/>
      <c r="M79" s="242"/>
      <c r="N79" s="258"/>
    </row>
    <row r="80" spans="1:14" ht="22.05" customHeight="1" x14ac:dyDescent="0.3">
      <c r="A80" s="662" t="s">
        <v>4</v>
      </c>
      <c r="B80" s="7" t="str">
        <f>Idiomas!D130</f>
        <v>Finalista</v>
      </c>
      <c r="C80" s="12" t="str">
        <f>'COPA AMERICA'!I53</f>
        <v>W29</v>
      </c>
      <c r="D80" s="656"/>
      <c r="E80" s="1"/>
      <c r="F80" s="1"/>
      <c r="G80" s="1"/>
      <c r="H80" s="1"/>
      <c r="I80" s="243"/>
      <c r="J80" s="1"/>
      <c r="K80" s="1"/>
      <c r="L80" s="1"/>
      <c r="M80" s="242"/>
      <c r="N80" s="258"/>
    </row>
    <row r="81" spans="1:14" ht="15" customHeight="1" x14ac:dyDescent="0.3">
      <c r="A81" s="662"/>
      <c r="B81" s="7" t="str">
        <f>B80</f>
        <v>Finalista</v>
      </c>
      <c r="C81" s="12" t="str">
        <f>'COPA AMERICA'!N53</f>
        <v>W30</v>
      </c>
      <c r="D81" s="656"/>
      <c r="E81" s="245"/>
      <c r="F81" s="245"/>
      <c r="G81" s="245"/>
      <c r="H81" s="248"/>
      <c r="I81" s="247"/>
      <c r="J81" s="1"/>
      <c r="K81" s="1"/>
      <c r="L81" s="1"/>
      <c r="M81" s="242"/>
      <c r="N81" s="258"/>
    </row>
    <row r="82" spans="1:14" x14ac:dyDescent="0.3">
      <c r="C82" s="12"/>
      <c r="D82" s="1"/>
      <c r="E82" s="1"/>
      <c r="F82" s="1"/>
      <c r="G82" s="1"/>
      <c r="H82" s="1"/>
      <c r="I82" s="246"/>
      <c r="J82" s="1"/>
      <c r="K82" s="1"/>
      <c r="L82" s="1"/>
      <c r="M82" s="242"/>
      <c r="N82" s="258"/>
    </row>
    <row r="83" spans="1:14" ht="21" customHeight="1" x14ac:dyDescent="0.35">
      <c r="B83" s="10" t="str">
        <f>Idiomas!D98</f>
        <v>3º-4º PUESTO</v>
      </c>
      <c r="C83" s="12"/>
      <c r="D83" s="1"/>
      <c r="E83" s="1"/>
      <c r="F83" s="1"/>
      <c r="G83" s="1"/>
      <c r="H83" s="1"/>
      <c r="I83" s="1"/>
      <c r="J83" s="1"/>
      <c r="K83" s="1"/>
      <c r="L83" s="1"/>
      <c r="M83" s="242"/>
      <c r="N83" s="258"/>
    </row>
    <row r="84" spans="1:14" ht="21" customHeight="1" x14ac:dyDescent="0.3">
      <c r="A84" s="240" t="s">
        <v>469</v>
      </c>
      <c r="B84" t="str">
        <f>CONCATENATE('COPA AMERICA'!I49,"-",'COPA AMERICA'!N49)</f>
        <v>L29-L30</v>
      </c>
      <c r="C84" s="13" t="str">
        <f>CONCATENATE('COPA AMERICA'!I49,"-",'COPA AMERICA'!N49,"·",IF('COPA AMERICA'!K49&gt;'COPA AMERICA'!L49,1,IF('COPA AMERICA'!K49&lt;'COPA AMERICA'!L49,2,IF(AND('COPA AMERICA'!K49='COPA AMERICA'!L49,'COPA AMERICA'!K49&lt;&gt;"",'COPA AMERICA'!L49&lt;&gt;""),"X",0))),"|",'COPA AMERICA'!K49,"-",'COPA AMERICA'!L49)</f>
        <v>L29-L30·0|-</v>
      </c>
      <c r="D84" s="659" t="s">
        <v>505</v>
      </c>
      <c r="E84" s="657" t="str">
        <f>Idiomas!D83</f>
        <v>·Para la final y el 3º y 4º puesto selecciona de la C84 a la C92 y pega valores en la plantilla de administrador.</v>
      </c>
      <c r="F84" s="658"/>
      <c r="G84" s="658"/>
      <c r="H84" s="658"/>
      <c r="I84" s="252"/>
      <c r="J84" s="1"/>
      <c r="K84" s="1"/>
      <c r="L84" s="1"/>
      <c r="M84" s="242"/>
      <c r="N84" s="258"/>
    </row>
    <row r="85" spans="1:14" ht="15" customHeight="1" x14ac:dyDescent="0.3">
      <c r="C85" s="12"/>
      <c r="D85" s="660"/>
      <c r="E85" s="657"/>
      <c r="F85" s="658"/>
      <c r="G85" s="658"/>
      <c r="H85" s="658"/>
      <c r="I85" s="252"/>
      <c r="J85" s="1"/>
      <c r="K85" s="1"/>
      <c r="L85" s="1"/>
      <c r="M85" s="242"/>
      <c r="N85" s="258"/>
    </row>
    <row r="86" spans="1:14" ht="19.05" customHeight="1" x14ac:dyDescent="0.35">
      <c r="B86" s="10" t="str">
        <f>Idiomas!D99</f>
        <v>ENFRENTAMIENTO FINAL</v>
      </c>
      <c r="C86" s="12"/>
      <c r="D86" s="660"/>
      <c r="E86" s="657"/>
      <c r="F86" s="658"/>
      <c r="G86" s="658"/>
      <c r="H86" s="658"/>
      <c r="I86" s="252"/>
      <c r="J86" s="1"/>
      <c r="K86" s="1"/>
      <c r="L86" s="1"/>
      <c r="M86" s="242"/>
      <c r="N86" s="258"/>
    </row>
    <row r="87" spans="1:14" ht="19.05" customHeight="1" x14ac:dyDescent="0.3">
      <c r="A87" s="240" t="s">
        <v>4</v>
      </c>
      <c r="B87" t="str">
        <f>CONCATENATE('COPA AMERICA'!I53,"-",'COPA AMERICA'!N53)</f>
        <v>W29-W30</v>
      </c>
      <c r="C87" s="13" t="str">
        <f>CONCATENATE('COPA AMERICA'!I53,"-",'COPA AMERICA'!N53,"·",IF('COPA AMERICA'!K53&gt;'COPA AMERICA'!L53,1,IF('COPA AMERICA'!K53&lt;'COPA AMERICA'!L53,2,IF(AND('COPA AMERICA'!K53='COPA AMERICA'!L53,'COPA AMERICA'!K53&lt;&gt;"",'COPA AMERICA'!L53&lt;&gt;""),"X",0))),"|",'COPA AMERICA'!K53,"-",'COPA AMERICA'!L53)</f>
        <v>W29-W30·0|-</v>
      </c>
      <c r="D87" s="660"/>
      <c r="E87" s="657"/>
      <c r="F87" s="658"/>
      <c r="G87" s="658"/>
      <c r="H87" s="658"/>
      <c r="I87" s="252"/>
      <c r="J87" s="1"/>
      <c r="K87" s="1"/>
      <c r="L87" s="1"/>
      <c r="M87" s="242"/>
      <c r="N87" s="258"/>
    </row>
    <row r="88" spans="1:14" ht="16.05" customHeight="1" x14ac:dyDescent="0.3">
      <c r="B88" s="7"/>
      <c r="C88" s="12"/>
      <c r="D88" s="660"/>
      <c r="E88" s="276"/>
      <c r="F88" s="277"/>
      <c r="G88" s="277"/>
      <c r="H88" s="277"/>
      <c r="I88" s="252"/>
      <c r="J88" s="1"/>
      <c r="K88" s="1"/>
      <c r="L88" s="1"/>
      <c r="M88" s="242"/>
      <c r="N88" s="258"/>
    </row>
    <row r="89" spans="1:14" ht="22.05" customHeight="1" x14ac:dyDescent="0.35">
      <c r="B89" s="10" t="str">
        <f>Idiomas!D100</f>
        <v>CUADRO DE HONOR</v>
      </c>
      <c r="C89" s="12"/>
      <c r="D89" s="660"/>
      <c r="E89" s="276"/>
      <c r="F89" s="277"/>
      <c r="G89" s="277"/>
      <c r="H89" s="277"/>
      <c r="I89" s="252"/>
      <c r="J89" s="1"/>
      <c r="K89" s="1"/>
      <c r="L89" s="1"/>
      <c r="M89" s="242"/>
      <c r="N89" s="258"/>
    </row>
    <row r="90" spans="1:14" ht="22.05" customHeight="1" x14ac:dyDescent="0.3">
      <c r="A90" s="241"/>
      <c r="B90" s="7" t="str">
        <f>'COPA AMERICA'!E56</f>
        <v>Campeón</v>
      </c>
      <c r="C90" s="12" t="str">
        <f>'COPA AMERICA'!I56</f>
        <v>WF</v>
      </c>
      <c r="D90" s="660"/>
      <c r="E90" s="276"/>
      <c r="F90" s="277"/>
      <c r="G90" s="277"/>
      <c r="H90" s="277"/>
      <c r="I90" s="252"/>
      <c r="J90" s="1"/>
      <c r="K90" s="1"/>
      <c r="L90" s="1"/>
      <c r="M90" s="242"/>
      <c r="N90" s="258"/>
    </row>
    <row r="91" spans="1:14" ht="15.6" x14ac:dyDescent="0.3">
      <c r="A91" s="171"/>
      <c r="B91" s="7" t="str">
        <f>'COPA AMERICA'!E57</f>
        <v>Subcampeón</v>
      </c>
      <c r="C91" s="12" t="str">
        <f>'COPA AMERICA'!I57</f>
        <v>LF</v>
      </c>
      <c r="D91" s="660"/>
      <c r="E91" s="276"/>
      <c r="F91" s="277"/>
      <c r="G91" s="277"/>
      <c r="H91" s="277"/>
      <c r="I91" s="247"/>
      <c r="J91" s="254"/>
      <c r="K91" s="253"/>
      <c r="L91" s="253"/>
      <c r="M91" s="242"/>
      <c r="N91" s="258"/>
    </row>
    <row r="92" spans="1:14" ht="19.05" customHeight="1" x14ac:dyDescent="0.3">
      <c r="A92" s="171"/>
      <c r="B92" t="str">
        <f>'COPA AMERICA'!E58</f>
        <v>3º puesto</v>
      </c>
      <c r="C92" s="12" t="str">
        <f>'COPA AMERICA'!I58</f>
        <v>W34</v>
      </c>
      <c r="D92" s="660"/>
      <c r="E92" s="245"/>
      <c r="F92" s="245"/>
      <c r="G92" s="245"/>
      <c r="H92" s="248"/>
      <c r="I92" s="247"/>
      <c r="J92" s="254"/>
      <c r="K92" s="253"/>
      <c r="L92" s="253"/>
      <c r="M92" s="256"/>
      <c r="N92" s="258"/>
    </row>
    <row r="93" spans="1:14" ht="18" x14ac:dyDescent="0.3">
      <c r="A93" s="241"/>
      <c r="B93" s="7" t="str">
        <f>'COPA AMERICA'!E61</f>
        <v>Goleador del torneo</v>
      </c>
      <c r="C93" s="12" t="str">
        <f>'COPA AMERICA'!I61</f>
        <v>Escribe un jugador</v>
      </c>
      <c r="D93" s="241"/>
      <c r="E93" s="661" t="str">
        <f>Idiomas!D84</f>
        <v>·Al inicio de la competición si se hace por fases copiar de la C93 a la C95 y pegarla al final del jugador en el archivo de administrador.</v>
      </c>
      <c r="F93" s="661"/>
      <c r="G93" s="661"/>
      <c r="H93" s="661"/>
      <c r="I93" s="272"/>
      <c r="J93" s="249"/>
      <c r="K93" s="249"/>
      <c r="L93" s="249"/>
      <c r="M93" s="255"/>
      <c r="N93" s="258"/>
    </row>
    <row r="94" spans="1:14" ht="18" x14ac:dyDescent="0.3">
      <c r="A94" s="171"/>
      <c r="B94" s="7" t="str">
        <f>'COPA AMERICA'!E62</f>
        <v>Mejor jugador del torneo</v>
      </c>
      <c r="C94" s="12" t="str">
        <f>'COPA AMERICA'!I62</f>
        <v>Escribe un jugador</v>
      </c>
      <c r="D94" s="241"/>
      <c r="E94" s="661"/>
      <c r="F94" s="661"/>
      <c r="G94" s="661"/>
      <c r="H94" s="661"/>
      <c r="I94" s="241"/>
      <c r="J94" s="241"/>
      <c r="K94" s="241"/>
      <c r="L94" s="241"/>
      <c r="M94" s="241"/>
      <c r="N94" s="258"/>
    </row>
    <row r="95" spans="1:14" ht="18" x14ac:dyDescent="0.3">
      <c r="A95" s="171"/>
      <c r="B95" s="7" t="str">
        <f>'COPA AMERICA'!E63</f>
        <v>Mejor portero del torneo</v>
      </c>
      <c r="C95" s="12" t="str">
        <f>'COPA AMERICA'!I63</f>
        <v>Escribe un portero</v>
      </c>
      <c r="D95" s="241"/>
      <c r="E95" s="661"/>
      <c r="F95" s="661"/>
      <c r="G95" s="661"/>
      <c r="H95" s="661"/>
      <c r="I95" s="241"/>
      <c r="J95" s="241"/>
      <c r="K95" s="241"/>
      <c r="L95" s="241"/>
      <c r="M95" s="241"/>
      <c r="N95" s="258"/>
    </row>
  </sheetData>
  <sheetProtection algorithmName="SHA-512" hashValue="oaukRujiAH9o55+Q9SykJ+iwWmlHnfyZrWv9T8gsOv+vsDOKuL3btA2gd+9oe4BrOgDFU4NIQQ37D8XIiaMTpw==" saltValue="mm5sO2yj8PqHmTvs9iZTlw==" spinCount="100000" sheet="1" objects="1" scenarios="1" selectLockedCells="1"/>
  <mergeCells count="29">
    <mergeCell ref="D6:D13"/>
    <mergeCell ref="E1:N2"/>
    <mergeCell ref="E6:H9"/>
    <mergeCell ref="E14:H17"/>
    <mergeCell ref="E22:H25"/>
    <mergeCell ref="E4:M4"/>
    <mergeCell ref="E3:N3"/>
    <mergeCell ref="E5:I5"/>
    <mergeCell ref="E93:H95"/>
    <mergeCell ref="A80:A81"/>
    <mergeCell ref="D14:D21"/>
    <mergeCell ref="D60:D69"/>
    <mergeCell ref="A44:A47"/>
    <mergeCell ref="A50:A57"/>
    <mergeCell ref="A32:A35"/>
    <mergeCell ref="A36:A39"/>
    <mergeCell ref="A40:A43"/>
    <mergeCell ref="A60:A63"/>
    <mergeCell ref="A66:A69"/>
    <mergeCell ref="A72:A73"/>
    <mergeCell ref="D22:D57"/>
    <mergeCell ref="A76:A77"/>
    <mergeCell ref="E60:H63"/>
    <mergeCell ref="E84:H87"/>
    <mergeCell ref="E58:L58"/>
    <mergeCell ref="E59:L59"/>
    <mergeCell ref="D72:D81"/>
    <mergeCell ref="E72:H75"/>
    <mergeCell ref="D84:D92"/>
  </mergeCells>
  <phoneticPr fontId="2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43641-7FE0-6247-937B-A62F539D3AAA}">
  <sheetPr codeName="Hoja7">
    <pageSetUpPr fitToPage="1"/>
  </sheetPr>
  <dimension ref="A1:AS52"/>
  <sheetViews>
    <sheetView showGridLines="0" showRowColHeaders="0" workbookViewId="0">
      <selection activeCell="H27" sqref="A1:XFD1048576"/>
    </sheetView>
  </sheetViews>
  <sheetFormatPr defaultColWidth="10.77734375" defaultRowHeight="14.4" x14ac:dyDescent="0.3"/>
  <cols>
    <col min="1" max="1" width="2.33203125" style="7" customWidth="1"/>
    <col min="2" max="2" width="3.33203125" style="7" customWidth="1"/>
    <col min="3" max="6" width="3.77734375" style="7" customWidth="1"/>
    <col min="7" max="7" width="3.33203125" style="7" customWidth="1"/>
    <col min="8" max="12" width="3.77734375" style="7" customWidth="1"/>
    <col min="13" max="14" width="4.33203125" style="7" customWidth="1"/>
    <col min="15" max="16" width="3.77734375" style="7" customWidth="1"/>
    <col min="17" max="17" width="3.33203125" style="7" customWidth="1"/>
    <col min="18" max="18" width="4.33203125" style="7" customWidth="1"/>
    <col min="19" max="21" width="3.77734375" style="7" customWidth="1"/>
    <col min="22" max="22" width="4.33203125" style="7" customWidth="1"/>
    <col min="23" max="24" width="3.77734375" style="7" customWidth="1"/>
    <col min="25" max="25" width="3.33203125" style="7" customWidth="1"/>
    <col min="26" max="28" width="3.77734375" style="7" customWidth="1"/>
    <col min="29" max="29" width="3.33203125" style="7" customWidth="1"/>
    <col min="30" max="30" width="4.33203125" style="7" customWidth="1"/>
    <col min="31" max="32" width="3.77734375" style="7" customWidth="1"/>
    <col min="33" max="34" width="3.33203125" style="7" customWidth="1"/>
    <col min="35" max="38" width="3.77734375" style="7" customWidth="1"/>
    <col min="39" max="39" width="3.33203125" style="7" customWidth="1"/>
    <col min="40" max="59" width="3.77734375" style="7" customWidth="1"/>
    <col min="60" max="16384" width="10.77734375" style="7"/>
  </cols>
  <sheetData>
    <row r="1" spans="1:45" ht="7.95" customHeight="1" x14ac:dyDescent="0.3">
      <c r="A1" s="319"/>
      <c r="B1" s="319"/>
      <c r="C1" s="319"/>
      <c r="D1" s="319"/>
      <c r="E1" s="319"/>
      <c r="F1" s="319"/>
      <c r="G1" s="319"/>
      <c r="H1" s="319"/>
      <c r="I1" s="319"/>
      <c r="J1" s="319"/>
      <c r="K1" s="319"/>
      <c r="L1" s="319"/>
      <c r="M1" s="319"/>
      <c r="N1" s="319"/>
      <c r="O1" s="319"/>
      <c r="P1" s="319"/>
      <c r="Q1" s="319"/>
      <c r="R1" s="319"/>
      <c r="S1" s="319"/>
      <c r="T1" s="319"/>
      <c r="U1" s="319"/>
      <c r="V1" s="319"/>
      <c r="W1" s="319"/>
      <c r="X1" s="319"/>
      <c r="Y1" s="319"/>
      <c r="Z1" s="319"/>
      <c r="AA1" s="319"/>
      <c r="AB1" s="319"/>
      <c r="AC1" s="319"/>
      <c r="AD1" s="319"/>
      <c r="AE1" s="319"/>
      <c r="AF1" s="319"/>
      <c r="AG1" s="319"/>
      <c r="AH1" s="319"/>
      <c r="AI1" s="319"/>
      <c r="AJ1" s="319"/>
      <c r="AK1" s="319"/>
      <c r="AL1" s="319"/>
      <c r="AM1" s="319"/>
      <c r="AN1" s="319"/>
      <c r="AO1" s="319"/>
      <c r="AP1" s="319"/>
      <c r="AQ1" s="319"/>
      <c r="AR1" s="319"/>
      <c r="AS1" s="319"/>
    </row>
    <row r="2" spans="1:45" ht="15" thickBot="1" x14ac:dyDescent="0.35">
      <c r="A2" s="319"/>
      <c r="B2" s="341"/>
      <c r="C2" s="342"/>
      <c r="D2" s="342"/>
      <c r="E2" s="342"/>
      <c r="F2" s="342"/>
      <c r="G2" s="342"/>
      <c r="H2" s="342"/>
      <c r="I2" s="342"/>
      <c r="J2" s="342"/>
      <c r="K2" s="342"/>
      <c r="L2" s="342"/>
      <c r="M2" s="342"/>
      <c r="N2" s="319"/>
      <c r="O2" s="343" t="s">
        <v>68</v>
      </c>
      <c r="P2" s="319"/>
      <c r="Q2" s="342"/>
      <c r="R2" s="342"/>
      <c r="S2" s="342" t="s">
        <v>74</v>
      </c>
      <c r="T2" s="342"/>
      <c r="U2" s="342"/>
      <c r="V2" s="342"/>
      <c r="W2" s="344" t="s">
        <v>515</v>
      </c>
      <c r="X2" s="342"/>
      <c r="Y2" s="342"/>
      <c r="Z2" s="342"/>
      <c r="AA2" s="342" t="s">
        <v>74</v>
      </c>
      <c r="AB2" s="342"/>
      <c r="AC2" s="342"/>
      <c r="AD2" s="342"/>
      <c r="AE2" s="343" t="s">
        <v>68</v>
      </c>
      <c r="AF2" s="342"/>
      <c r="AG2" s="342"/>
      <c r="AH2" s="319"/>
      <c r="AI2" s="319"/>
      <c r="AJ2" s="319"/>
      <c r="AK2" s="319"/>
      <c r="AL2" s="319"/>
      <c r="AM2" s="319"/>
      <c r="AN2" s="319"/>
      <c r="AO2" s="319"/>
      <c r="AP2" s="319"/>
      <c r="AQ2" s="319"/>
      <c r="AR2" s="319"/>
      <c r="AS2" s="319"/>
    </row>
    <row r="3" spans="1:45" x14ac:dyDescent="0.3">
      <c r="A3" s="319"/>
      <c r="B3" s="345" t="s">
        <v>0</v>
      </c>
      <c r="C3" s="346" t="str">
        <f ca="1">MID('COPA AMERICA'!I4,1,3)</f>
        <v>Arg</v>
      </c>
      <c r="D3" s="347">
        <f>'COPA AMERICA'!K4</f>
        <v>0</v>
      </c>
      <c r="E3" s="347">
        <f>'COPA AMERICA'!L4</f>
        <v>0</v>
      </c>
      <c r="F3" s="348" t="str">
        <f ca="1">MID('COPA AMERICA'!N4,1,3)</f>
        <v>Can</v>
      </c>
      <c r="G3" s="349"/>
      <c r="H3" s="350" t="str">
        <f>MID('COPA AMERICA'!R5,1,3)</f>
        <v>Sel</v>
      </c>
      <c r="I3" s="351" t="s">
        <v>66</v>
      </c>
      <c r="J3" s="351" t="str">
        <f>'COPA AMERICA'!T5</f>
        <v>J</v>
      </c>
      <c r="K3" s="351" t="str">
        <f>'COPA AMERICA'!Z5</f>
        <v>DG</v>
      </c>
      <c r="L3" s="352" t="str">
        <f>'COPA AMERICA'!X5</f>
        <v>GF</v>
      </c>
      <c r="M3" s="319"/>
      <c r="N3" s="353"/>
      <c r="O3" s="353"/>
      <c r="P3" s="353"/>
      <c r="Q3" s="354"/>
      <c r="R3" s="355"/>
      <c r="S3" s="355"/>
      <c r="T3" s="355"/>
      <c r="U3" s="354"/>
      <c r="V3" s="356"/>
      <c r="W3" s="356"/>
      <c r="X3" s="356"/>
      <c r="Y3" s="354"/>
      <c r="Z3" s="355"/>
      <c r="AA3" s="355"/>
      <c r="AB3" s="355"/>
      <c r="AC3" s="354"/>
      <c r="AD3" s="353"/>
      <c r="AE3" s="353"/>
      <c r="AF3" s="353"/>
      <c r="AG3" s="319"/>
      <c r="AH3" s="357" t="s">
        <v>2</v>
      </c>
      <c r="AI3" s="358" t="str">
        <f ca="1">MID('COPA AMERICA'!I20,1,3)</f>
        <v>Est</v>
      </c>
      <c r="AJ3" s="359">
        <f>'COPA AMERICA'!K20</f>
        <v>0</v>
      </c>
      <c r="AK3" s="360">
        <f>'COPA AMERICA'!L20</f>
        <v>0</v>
      </c>
      <c r="AL3" s="361" t="str">
        <f ca="1">MID('COPA AMERICA'!N20,1,3)</f>
        <v>Bol</v>
      </c>
      <c r="AM3" s="362"/>
      <c r="AN3" s="363" t="str">
        <f>H3</f>
        <v>Sel</v>
      </c>
      <c r="AO3" s="364" t="str">
        <f>I3</f>
        <v>Pts</v>
      </c>
      <c r="AP3" s="364" t="str">
        <f>J3</f>
        <v>J</v>
      </c>
      <c r="AQ3" s="364" t="str">
        <f>K3</f>
        <v>DG</v>
      </c>
      <c r="AR3" s="364" t="str">
        <f>L3</f>
        <v>GF</v>
      </c>
      <c r="AS3" s="319"/>
    </row>
    <row r="4" spans="1:45" x14ac:dyDescent="0.3">
      <c r="A4" s="319"/>
      <c r="B4" s="345"/>
      <c r="C4" s="365" t="str">
        <f ca="1">MID('COPA AMERICA'!I5,1,3)</f>
        <v>Per</v>
      </c>
      <c r="D4" s="366">
        <f>'COPA AMERICA'!K5</f>
        <v>0</v>
      </c>
      <c r="E4" s="366">
        <f>'COPA AMERICA'!L5</f>
        <v>0</v>
      </c>
      <c r="F4" s="367" t="str">
        <f ca="1">MID('COPA AMERICA'!N5,1,3)</f>
        <v>Chi</v>
      </c>
      <c r="G4" s="319">
        <v>1</v>
      </c>
      <c r="H4" s="368" t="str">
        <f ca="1">MID('COPA AMERICA'!R6,1,3)</f>
        <v>Arg</v>
      </c>
      <c r="I4" s="369">
        <f ca="1">'COPA AMERICA'!S6</f>
        <v>0</v>
      </c>
      <c r="J4" s="370">
        <f ca="1">'COPA AMERICA'!T6</f>
        <v>0</v>
      </c>
      <c r="K4" s="370">
        <f ca="1">'COPA AMERICA'!Z6</f>
        <v>0</v>
      </c>
      <c r="L4" s="371">
        <f ca="1">'COPA AMERICA'!X6</f>
        <v>0</v>
      </c>
      <c r="M4" s="319"/>
      <c r="N4" s="353"/>
      <c r="O4" s="353"/>
      <c r="P4" s="353"/>
      <c r="Q4" s="354"/>
      <c r="R4" s="355"/>
      <c r="S4" s="355"/>
      <c r="T4" s="355"/>
      <c r="U4" s="354"/>
      <c r="V4" s="372" t="s">
        <v>469</v>
      </c>
      <c r="W4" s="356"/>
      <c r="X4" s="356"/>
      <c r="Y4" s="354"/>
      <c r="Z4" s="355"/>
      <c r="AA4" s="355"/>
      <c r="AB4" s="355"/>
      <c r="AC4" s="354"/>
      <c r="AD4" s="353"/>
      <c r="AE4" s="353"/>
      <c r="AF4" s="353"/>
      <c r="AG4" s="319"/>
      <c r="AH4" s="373"/>
      <c r="AI4" s="374" t="str">
        <f ca="1">MID('COPA AMERICA'!I21,1,3)</f>
        <v>Uru</v>
      </c>
      <c r="AJ4" s="375">
        <f>'COPA AMERICA'!K21</f>
        <v>0</v>
      </c>
      <c r="AK4" s="376">
        <f>'COPA AMERICA'!L21</f>
        <v>0</v>
      </c>
      <c r="AL4" s="377" t="str">
        <f ca="1">MID('COPA AMERICA'!N21,1,3)</f>
        <v>Pan</v>
      </c>
      <c r="AM4" s="378">
        <v>1</v>
      </c>
      <c r="AN4" s="379" t="str">
        <f ca="1">MID('COPA AMERICA'!R22,1,3)</f>
        <v>Est</v>
      </c>
      <c r="AO4" s="380">
        <f ca="1">'COPA AMERICA'!S22</f>
        <v>0</v>
      </c>
      <c r="AP4" s="381">
        <f ca="1">'COPA AMERICA'!T22</f>
        <v>0</v>
      </c>
      <c r="AQ4" s="381">
        <f ca="1">'COPA AMERICA'!Z22</f>
        <v>0</v>
      </c>
      <c r="AR4" s="382">
        <f ca="1">'COPA AMERICA'!X22</f>
        <v>0</v>
      </c>
      <c r="AS4" s="319"/>
    </row>
    <row r="5" spans="1:45" x14ac:dyDescent="0.3">
      <c r="A5" s="319"/>
      <c r="B5" s="345"/>
      <c r="C5" s="365" t="str">
        <f ca="1">MID('COPA AMERICA'!I6,1,3)</f>
        <v>Per</v>
      </c>
      <c r="D5" s="366">
        <f>'COPA AMERICA'!K6</f>
        <v>0</v>
      </c>
      <c r="E5" s="366">
        <f>'COPA AMERICA'!L6</f>
        <v>0</v>
      </c>
      <c r="F5" s="367" t="str">
        <f ca="1">MID('COPA AMERICA'!N6,1,3)</f>
        <v>Can</v>
      </c>
      <c r="G5" s="319">
        <v>2</v>
      </c>
      <c r="H5" s="368" t="str">
        <f ca="1">MID('COPA AMERICA'!R7,1,3)</f>
        <v>Per</v>
      </c>
      <c r="I5" s="369">
        <f ca="1">'COPA AMERICA'!S7</f>
        <v>0</v>
      </c>
      <c r="J5" s="370">
        <f ca="1">'COPA AMERICA'!T7</f>
        <v>0</v>
      </c>
      <c r="K5" s="370">
        <f ca="1">'COPA AMERICA'!Z7</f>
        <v>0</v>
      </c>
      <c r="L5" s="371">
        <f ca="1">'COPA AMERICA'!X7</f>
        <v>0</v>
      </c>
      <c r="M5" s="319"/>
      <c r="N5" s="383" t="str">
        <f ca="1">MID('COPA AMERICA'!I37,1,3)</f>
        <v>1A</v>
      </c>
      <c r="O5" s="384" t="str">
        <f>IF(ISBLANK('COPA AMERICA'!K37),"",('COPA AMERICA'!K37))</f>
        <v/>
      </c>
      <c r="P5" s="385" t="str">
        <f>IF(ISBLANK('COPA AMERICA'!J37),"","("&amp;('COPA AMERICA'!J37)&amp;")")</f>
        <v/>
      </c>
      <c r="Q5" s="354"/>
      <c r="R5" s="355"/>
      <c r="S5" s="386"/>
      <c r="T5" s="386"/>
      <c r="U5" s="387"/>
      <c r="V5" s="388" t="str">
        <f>MID('COPA AMERICA'!I49,1,3)</f>
        <v>L29</v>
      </c>
      <c r="W5" s="389" t="str">
        <f>IF(ISBLANK('COPA AMERICA'!K49),"",('COPA AMERICA'!K49))</f>
        <v/>
      </c>
      <c r="X5" s="390" t="str">
        <f>IF(ISBLANK('COPA AMERICA'!J49),"","("&amp;('COPA AMERICA'!J49)&amp;")")</f>
        <v/>
      </c>
      <c r="Y5" s="391"/>
      <c r="Z5" s="386"/>
      <c r="AA5" s="386"/>
      <c r="AB5" s="355"/>
      <c r="AC5" s="354"/>
      <c r="AD5" s="392" t="str">
        <f>IF(ISBLANK('COPA AMERICA'!J39),"","("&amp;('COPA AMERICA'!J39)&amp;")")</f>
        <v/>
      </c>
      <c r="AE5" s="384" t="str">
        <f>IF(ISBLANK('COPA AMERICA'!K40),"",('COPA AMERICA'!K40))</f>
        <v/>
      </c>
      <c r="AF5" s="383" t="str">
        <f ca="1">MID('COPA AMERICA'!I40,1,3)</f>
        <v>1C</v>
      </c>
      <c r="AG5" s="319"/>
      <c r="AH5" s="373"/>
      <c r="AI5" s="393" t="str">
        <f ca="1">MID('COPA AMERICA'!I22,1,3)</f>
        <v>Pan</v>
      </c>
      <c r="AJ5" s="394">
        <f>'COPA AMERICA'!K22</f>
        <v>0</v>
      </c>
      <c r="AK5" s="395">
        <f>'COPA AMERICA'!L22</f>
        <v>0</v>
      </c>
      <c r="AL5" s="396" t="str">
        <f ca="1">MID('COPA AMERICA'!N22,1,3)</f>
        <v>Est</v>
      </c>
      <c r="AM5" s="378">
        <v>2</v>
      </c>
      <c r="AN5" s="397" t="str">
        <f ca="1">MID('COPA AMERICA'!R23,1,3)</f>
        <v>Uru</v>
      </c>
      <c r="AO5" s="398">
        <f ca="1">'COPA AMERICA'!S23</f>
        <v>0</v>
      </c>
      <c r="AP5" s="381">
        <f ca="1">'COPA AMERICA'!T23</f>
        <v>0</v>
      </c>
      <c r="AQ5" s="399">
        <f ca="1">'COPA AMERICA'!Z23</f>
        <v>0</v>
      </c>
      <c r="AR5" s="382">
        <f ca="1">'COPA AMERICA'!X23</f>
        <v>0</v>
      </c>
      <c r="AS5" s="319"/>
    </row>
    <row r="6" spans="1:45" x14ac:dyDescent="0.3">
      <c r="A6" s="319"/>
      <c r="B6" s="345"/>
      <c r="C6" s="365" t="str">
        <f ca="1">MID('COPA AMERICA'!I7,1,3)</f>
        <v>Chi</v>
      </c>
      <c r="D6" s="366">
        <f>'COPA AMERICA'!K7</f>
        <v>0</v>
      </c>
      <c r="E6" s="366">
        <f>'COPA AMERICA'!L7</f>
        <v>0</v>
      </c>
      <c r="F6" s="367" t="str">
        <f ca="1">MID('COPA AMERICA'!N7,1,3)</f>
        <v>Arg</v>
      </c>
      <c r="G6" s="319">
        <v>3</v>
      </c>
      <c r="H6" s="368" t="str">
        <f ca="1">MID('COPA AMERICA'!R8,1,3)</f>
        <v>Chi</v>
      </c>
      <c r="I6" s="369">
        <f ca="1">'COPA AMERICA'!S8</f>
        <v>0</v>
      </c>
      <c r="J6" s="370">
        <f ca="1">'COPA AMERICA'!T8</f>
        <v>0</v>
      </c>
      <c r="K6" s="370">
        <f ca="1">'COPA AMERICA'!Z8</f>
        <v>0</v>
      </c>
      <c r="L6" s="371">
        <f ca="1">'COPA AMERICA'!X8</f>
        <v>0</v>
      </c>
      <c r="M6" s="319"/>
      <c r="N6" s="383" t="str">
        <f ca="1">MID('COPA AMERICA'!N37,1,3)</f>
        <v>2B</v>
      </c>
      <c r="O6" s="384" t="str">
        <f>IF(ISBLANK('COPA AMERICA'!L37),"",('COPA AMERICA'!L37))</f>
        <v/>
      </c>
      <c r="P6" s="400" t="str">
        <f>IF(ISBLANK('COPA AMERICA'!M37),"","("&amp;('COPA AMERICA'!M37)&amp;")")</f>
        <v/>
      </c>
      <c r="Q6" s="354"/>
      <c r="R6" s="401"/>
      <c r="S6" s="355"/>
      <c r="T6" s="355"/>
      <c r="U6" s="354"/>
      <c r="V6" s="402" t="str">
        <f>MID('COPA AMERICA'!N49,1,3)</f>
        <v>L30</v>
      </c>
      <c r="W6" s="389" t="str">
        <f>IF(ISBLANK('COPA AMERICA'!L49),"",('COPA AMERICA'!L49))</f>
        <v/>
      </c>
      <c r="X6" s="403" t="str">
        <f>IF(ISBLANK('COPA AMERICA'!M49),"","("&amp;('COPA AMERICA'!M49)&amp;")")</f>
        <v/>
      </c>
      <c r="Y6" s="354"/>
      <c r="Z6" s="355"/>
      <c r="AA6" s="404"/>
      <c r="AB6" s="355"/>
      <c r="AC6" s="405"/>
      <c r="AD6" s="406" t="str">
        <f>IF(ISBLANK('COPA AMERICA'!M39),"","("&amp;('COPA AMERICA'!M39)&amp;")")</f>
        <v/>
      </c>
      <c r="AE6" s="384" t="str">
        <f>IF(ISBLANK('COPA AMERICA'!L40),"",('COPA AMERICA'!L40))</f>
        <v/>
      </c>
      <c r="AF6" s="383" t="str">
        <f ca="1">MID('COPA AMERICA'!N40,1,3)</f>
        <v>2D</v>
      </c>
      <c r="AG6" s="319"/>
      <c r="AH6" s="373"/>
      <c r="AI6" s="393" t="str">
        <f ca="1">MID('COPA AMERICA'!I23,1,3)</f>
        <v>Uru</v>
      </c>
      <c r="AJ6" s="394">
        <f>'COPA AMERICA'!K23</f>
        <v>0</v>
      </c>
      <c r="AK6" s="395">
        <f>'COPA AMERICA'!L23</f>
        <v>0</v>
      </c>
      <c r="AL6" s="396" t="str">
        <f ca="1">MID('COPA AMERICA'!N23,1,3)</f>
        <v>Bol</v>
      </c>
      <c r="AM6" s="378">
        <v>3</v>
      </c>
      <c r="AN6" s="397" t="str">
        <f ca="1">MID('COPA AMERICA'!R24,1,3)</f>
        <v>Pan</v>
      </c>
      <c r="AO6" s="398">
        <f ca="1">'COPA AMERICA'!S24</f>
        <v>0</v>
      </c>
      <c r="AP6" s="381">
        <f ca="1">'COPA AMERICA'!T24</f>
        <v>0</v>
      </c>
      <c r="AQ6" s="399">
        <f ca="1">'COPA AMERICA'!Z24</f>
        <v>0</v>
      </c>
      <c r="AR6" s="382">
        <f ca="1">'COPA AMERICA'!X24</f>
        <v>0</v>
      </c>
      <c r="AS6" s="319"/>
    </row>
    <row r="7" spans="1:45" x14ac:dyDescent="0.3">
      <c r="A7" s="319"/>
      <c r="B7" s="345"/>
      <c r="C7" s="365" t="str">
        <f ca="1">MID('COPA AMERICA'!I8,1,3)</f>
        <v>Arg</v>
      </c>
      <c r="D7" s="366">
        <f>'COPA AMERICA'!K8</f>
        <v>0</v>
      </c>
      <c r="E7" s="366">
        <f>'COPA AMERICA'!L8</f>
        <v>0</v>
      </c>
      <c r="F7" s="367" t="str">
        <f ca="1">MID('COPA AMERICA'!N8,1,3)</f>
        <v>Per</v>
      </c>
      <c r="G7" s="319">
        <v>4</v>
      </c>
      <c r="H7" s="368" t="str">
        <f ca="1">MID('COPA AMERICA'!R9,1,3)</f>
        <v>Can</v>
      </c>
      <c r="I7" s="369">
        <f ca="1">'COPA AMERICA'!S9</f>
        <v>0</v>
      </c>
      <c r="J7" s="370">
        <f ca="1">'COPA AMERICA'!T9</f>
        <v>0</v>
      </c>
      <c r="K7" s="370">
        <f ca="1">'COPA AMERICA'!Z9</f>
        <v>0</v>
      </c>
      <c r="L7" s="371">
        <f ca="1">'COPA AMERICA'!X9</f>
        <v>0</v>
      </c>
      <c r="N7" s="353"/>
      <c r="O7" s="353"/>
      <c r="P7" s="407"/>
      <c r="Q7" s="354"/>
      <c r="R7" s="401"/>
      <c r="S7" s="355"/>
      <c r="T7" s="355"/>
      <c r="U7" s="354"/>
      <c r="V7" s="356"/>
      <c r="W7" s="356"/>
      <c r="X7" s="356"/>
      <c r="Y7" s="354"/>
      <c r="Z7" s="355"/>
      <c r="AA7" s="401"/>
      <c r="AB7" s="355"/>
      <c r="AC7" s="405"/>
      <c r="AD7" s="353"/>
      <c r="AE7" s="353"/>
      <c r="AF7" s="408"/>
      <c r="AG7" s="319"/>
      <c r="AH7" s="373"/>
      <c r="AI7" s="393" t="str">
        <f ca="1">MID('COPA AMERICA'!I24,1,3)</f>
        <v>Est</v>
      </c>
      <c r="AJ7" s="394">
        <f>'COPA AMERICA'!K24</f>
        <v>0</v>
      </c>
      <c r="AK7" s="395">
        <f>'COPA AMERICA'!L24</f>
        <v>0</v>
      </c>
      <c r="AL7" s="396" t="str">
        <f ca="1">MID('COPA AMERICA'!N24,1,3)</f>
        <v>Uru</v>
      </c>
      <c r="AM7" s="378">
        <v>4</v>
      </c>
      <c r="AN7" s="397" t="str">
        <f ca="1">MID('COPA AMERICA'!R25,1,3)</f>
        <v>Bol</v>
      </c>
      <c r="AO7" s="398">
        <f ca="1">'COPA AMERICA'!S25</f>
        <v>0</v>
      </c>
      <c r="AP7" s="381">
        <f ca="1">'COPA AMERICA'!T25</f>
        <v>0</v>
      </c>
      <c r="AQ7" s="399">
        <f ca="1">'COPA AMERICA'!Z25</f>
        <v>0</v>
      </c>
      <c r="AR7" s="382">
        <f ca="1">'COPA AMERICA'!X25</f>
        <v>0</v>
      </c>
      <c r="AS7" s="319"/>
    </row>
    <row r="8" spans="1:45" ht="15" thickBot="1" x14ac:dyDescent="0.35">
      <c r="A8" s="319"/>
      <c r="B8" s="409"/>
      <c r="C8" s="410" t="str">
        <f ca="1">MID('COPA AMERICA'!I9,1,3)</f>
        <v>Can</v>
      </c>
      <c r="D8" s="411">
        <f>'COPA AMERICA'!K9</f>
        <v>0</v>
      </c>
      <c r="E8" s="411">
        <f>'COPA AMERICA'!L9</f>
        <v>0</v>
      </c>
      <c r="F8" s="412" t="str">
        <f ca="1">MID('COPA AMERICA'!N9,1,3)</f>
        <v>Chi</v>
      </c>
      <c r="G8" s="341"/>
      <c r="H8" s="413"/>
      <c r="I8" s="414"/>
      <c r="J8" s="414"/>
      <c r="K8" s="414"/>
      <c r="L8" s="415"/>
      <c r="M8" s="319"/>
      <c r="N8" s="353"/>
      <c r="O8" s="353"/>
      <c r="P8" s="407"/>
      <c r="Q8" s="354"/>
      <c r="R8" s="416"/>
      <c r="S8" s="355"/>
      <c r="T8" s="355"/>
      <c r="U8" s="354"/>
      <c r="V8" s="417" t="s">
        <v>4</v>
      </c>
      <c r="W8" s="418"/>
      <c r="X8" s="356"/>
      <c r="Y8" s="354"/>
      <c r="Z8" s="355"/>
      <c r="AA8" s="416"/>
      <c r="AB8" s="355"/>
      <c r="AC8" s="405"/>
      <c r="AD8" s="353"/>
      <c r="AE8" s="353"/>
      <c r="AF8" s="353"/>
      <c r="AG8" s="319"/>
      <c r="AH8" s="419"/>
      <c r="AI8" s="420" t="str">
        <f ca="1">MID('COPA AMERICA'!I25,1,3)</f>
        <v>Bol</v>
      </c>
      <c r="AJ8" s="421">
        <f>'COPA AMERICA'!K25</f>
        <v>0</v>
      </c>
      <c r="AK8" s="422">
        <f>'COPA AMERICA'!L25</f>
        <v>0</v>
      </c>
      <c r="AL8" s="423" t="str">
        <f ca="1">MID('COPA AMERICA'!N25,1,3)</f>
        <v>Pan</v>
      </c>
      <c r="AM8" s="424"/>
      <c r="AN8" s="425"/>
      <c r="AO8" s="426"/>
      <c r="AP8" s="426"/>
      <c r="AQ8" s="426"/>
      <c r="AR8" s="427"/>
      <c r="AS8" s="319"/>
    </row>
    <row r="9" spans="1:45" x14ac:dyDescent="0.3">
      <c r="A9" s="319"/>
      <c r="B9" s="428"/>
      <c r="C9" s="429"/>
      <c r="D9" s="430"/>
      <c r="E9" s="4"/>
      <c r="F9" s="319"/>
      <c r="G9" s="319"/>
      <c r="H9" s="431"/>
      <c r="I9" s="319"/>
      <c r="J9" s="319"/>
      <c r="K9" s="319"/>
      <c r="L9" s="319"/>
      <c r="M9" s="319"/>
      <c r="N9" s="353"/>
      <c r="O9" s="353"/>
      <c r="P9" s="407"/>
      <c r="Q9" s="432"/>
      <c r="R9" s="433" t="str">
        <f>MID('COPA AMERICA'!I44,1,3)</f>
        <v>W25</v>
      </c>
      <c r="S9" s="434" t="str">
        <f>IF(ISBLANK('COPA AMERICA'!K44),"",('COPA AMERICA'!K44))</f>
        <v/>
      </c>
      <c r="T9" s="435" t="str">
        <f>IF(ISBLANK('COPA AMERICA'!J44),"","("&amp;('COPA AMERICA'!J44)&amp;")")</f>
        <v/>
      </c>
      <c r="U9" s="436"/>
      <c r="V9" s="388" t="str">
        <f>MID('COPA AMERICA'!I53,1,3)</f>
        <v>W29</v>
      </c>
      <c r="W9" s="389" t="str">
        <f>IF(ISBLANK('COPA AMERICA'!K53),"",('COPA AMERICA'!K53))</f>
        <v/>
      </c>
      <c r="X9" s="437" t="str">
        <f>IF(ISBLANK('COPA AMERICA'!J53),"","("&amp;('COPA AMERICA'!J53)&amp;")")</f>
        <v/>
      </c>
      <c r="Y9" s="438"/>
      <c r="Z9" s="439" t="str">
        <f>IF(ISBLANK('COPA AMERICA'!J45),"","("&amp;('COPA AMERICA'!J45)&amp;")")</f>
        <v/>
      </c>
      <c r="AA9" s="434" t="str">
        <f>IF(ISBLANK('COPA AMERICA'!K45),"",('COPA AMERICA'!K45))</f>
        <v/>
      </c>
      <c r="AB9" s="440" t="str">
        <f>MID('COPA AMERICA'!I45,1,3)</f>
        <v>W27</v>
      </c>
      <c r="AC9" s="441"/>
      <c r="AD9" s="353"/>
      <c r="AE9" s="353"/>
      <c r="AF9" s="353"/>
      <c r="AG9" s="342"/>
      <c r="AH9" s="319"/>
      <c r="AI9" s="319"/>
      <c r="AJ9" s="319"/>
      <c r="AK9" s="319"/>
      <c r="AL9" s="319"/>
      <c r="AM9" s="319"/>
      <c r="AN9" s="319"/>
      <c r="AO9" s="319"/>
      <c r="AP9" s="319"/>
      <c r="AQ9" s="319"/>
      <c r="AR9" s="319"/>
      <c r="AS9" s="319"/>
    </row>
    <row r="10" spans="1:45" ht="15" thickBot="1" x14ac:dyDescent="0.35">
      <c r="A10" s="319"/>
      <c r="B10" s="442"/>
      <c r="C10" s="431"/>
      <c r="D10" s="4"/>
      <c r="E10" s="4"/>
      <c r="F10" s="319"/>
      <c r="G10" s="319"/>
      <c r="H10" s="431"/>
      <c r="I10" s="319"/>
      <c r="J10" s="319"/>
      <c r="K10" s="319"/>
      <c r="L10" s="319"/>
      <c r="M10" s="319"/>
      <c r="N10" s="353"/>
      <c r="O10" s="353"/>
      <c r="P10" s="407"/>
      <c r="Q10" s="443"/>
      <c r="R10" s="433" t="str">
        <f>MID('COPA AMERICA'!N44,1,3)</f>
        <v>W26</v>
      </c>
      <c r="S10" s="434" t="str">
        <f>IF(ISBLANK('COPA AMERICA'!L44),"",('COPA AMERICA'!L44))</f>
        <v/>
      </c>
      <c r="T10" s="444" t="str">
        <f>IF(ISBLANK('COPA AMERICA'!M44),"","("&amp;('COPA AMERICA'!M44)&amp;")")</f>
        <v/>
      </c>
      <c r="U10" s="354"/>
      <c r="V10" s="402" t="str">
        <f>MID('COPA AMERICA'!N53,1,3)</f>
        <v>W30</v>
      </c>
      <c r="W10" s="389" t="str">
        <f>IF(ISBLANK('COPA AMERICA'!L53),"",('COPA AMERICA'!L53))</f>
        <v/>
      </c>
      <c r="X10" s="445" t="str">
        <f>IF(ISBLANK('COPA AMERICA'!M53),"","("&amp;('COPA AMERICA'!M53)&amp;")")</f>
        <v/>
      </c>
      <c r="Y10" s="446"/>
      <c r="Z10" s="447" t="str">
        <f>IF(ISBLANK('COPA AMERICA'!M45),"","("&amp;('COPA AMERICA'!M45)&amp;")")</f>
        <v/>
      </c>
      <c r="AA10" s="434" t="str">
        <f>IF(ISBLANK('COPA AMERICA'!L45),"",('COPA AMERICA'!L45))</f>
        <v/>
      </c>
      <c r="AB10" s="440" t="str">
        <f>MID('COPA AMERICA'!N45,1,3)</f>
        <v>W28</v>
      </c>
      <c r="AC10" s="405"/>
      <c r="AD10" s="353"/>
      <c r="AE10" s="353"/>
      <c r="AF10" s="353"/>
      <c r="AG10" s="319"/>
      <c r="AH10" s="319"/>
      <c r="AI10" s="354"/>
      <c r="AJ10" s="354"/>
      <c r="AK10" s="319"/>
      <c r="AL10" s="319"/>
      <c r="AM10" s="431"/>
      <c r="AN10" s="319"/>
      <c r="AO10" s="319"/>
      <c r="AP10" s="319"/>
      <c r="AQ10" s="319"/>
      <c r="AR10" s="344"/>
      <c r="AS10" s="319"/>
    </row>
    <row r="11" spans="1:45" x14ac:dyDescent="0.3">
      <c r="A11" s="319"/>
      <c r="B11" s="448" t="s">
        <v>1</v>
      </c>
      <c r="C11" s="449" t="str">
        <f ca="1">MID('COPA AMERICA'!I12,1,3)</f>
        <v>Ecu</v>
      </c>
      <c r="D11" s="450">
        <f>'COPA AMERICA'!K12</f>
        <v>0</v>
      </c>
      <c r="E11" s="451">
        <f>'COPA AMERICA'!L12</f>
        <v>0</v>
      </c>
      <c r="F11" s="452" t="str">
        <f ca="1">MID('COPA AMERICA'!N12,1,3)</f>
        <v>Ven</v>
      </c>
      <c r="G11" s="453"/>
      <c r="H11" s="454" t="str">
        <f>H3</f>
        <v>Sel</v>
      </c>
      <c r="I11" s="455" t="str">
        <f>I3</f>
        <v>Pts</v>
      </c>
      <c r="J11" s="455" t="str">
        <f t="shared" ref="J11:K11" si="0">J3</f>
        <v>J</v>
      </c>
      <c r="K11" s="455" t="str">
        <f t="shared" si="0"/>
        <v>DG</v>
      </c>
      <c r="L11" s="456" t="str">
        <f>L3</f>
        <v>GF</v>
      </c>
      <c r="M11" s="319"/>
      <c r="N11" s="353"/>
      <c r="O11" s="353"/>
      <c r="P11" s="407"/>
      <c r="Q11" s="457"/>
      <c r="R11" s="355"/>
      <c r="S11" s="355"/>
      <c r="T11" s="355"/>
      <c r="U11" s="354"/>
      <c r="V11" s="356"/>
      <c r="W11" s="356"/>
      <c r="X11" s="356"/>
      <c r="Y11" s="354"/>
      <c r="Z11" s="355"/>
      <c r="AA11" s="355"/>
      <c r="AB11" s="458"/>
      <c r="AC11" s="405"/>
      <c r="AD11" s="353"/>
      <c r="AE11" s="353"/>
      <c r="AF11" s="353"/>
      <c r="AG11" s="319"/>
      <c r="AH11" s="459" t="s">
        <v>110</v>
      </c>
      <c r="AI11" s="460" t="str">
        <f ca="1">MID('COPA AMERICA'!I28,1,3)</f>
        <v>Col</v>
      </c>
      <c r="AJ11" s="461">
        <f>'COPA AMERICA'!K28</f>
        <v>0</v>
      </c>
      <c r="AK11" s="461">
        <f>'COPA AMERICA'!L28</f>
        <v>0</v>
      </c>
      <c r="AL11" s="462" t="str">
        <f ca="1">MID('COPA AMERICA'!N28,1,3)</f>
        <v>Par</v>
      </c>
      <c r="AM11" s="463"/>
      <c r="AN11" s="464" t="str">
        <f>H3</f>
        <v>Sel</v>
      </c>
      <c r="AO11" s="464" t="str">
        <f>I3</f>
        <v>Pts</v>
      </c>
      <c r="AP11" s="464" t="str">
        <f>J3</f>
        <v>J</v>
      </c>
      <c r="AQ11" s="464" t="str">
        <f>K3</f>
        <v>DG</v>
      </c>
      <c r="AR11" s="464" t="str">
        <f>L3</f>
        <v>GF</v>
      </c>
      <c r="AS11" s="319"/>
    </row>
    <row r="12" spans="1:45" x14ac:dyDescent="0.3">
      <c r="A12" s="319"/>
      <c r="B12" s="448"/>
      <c r="C12" s="465" t="str">
        <f ca="1">MID('COPA AMERICA'!I13,1,3)</f>
        <v>Méx</v>
      </c>
      <c r="D12" s="466">
        <f>'COPA AMERICA'!K13</f>
        <v>0</v>
      </c>
      <c r="E12" s="467">
        <f>'COPA AMERICA'!L13</f>
        <v>0</v>
      </c>
      <c r="F12" s="468" t="str">
        <f ca="1">MID('COPA AMERICA'!N13,1,3)</f>
        <v>Jam</v>
      </c>
      <c r="G12" s="319">
        <v>1</v>
      </c>
      <c r="H12" s="469" t="str">
        <f ca="1">MID('COPA AMERICA'!R14,1,3)</f>
        <v>Méx</v>
      </c>
      <c r="I12" s="470">
        <f ca="1">'COPA AMERICA'!S14</f>
        <v>0</v>
      </c>
      <c r="J12" s="471">
        <f ca="1">'COPA AMERICA'!T14</f>
        <v>0</v>
      </c>
      <c r="K12" s="471">
        <f ca="1">'COPA AMERICA'!Z14</f>
        <v>0</v>
      </c>
      <c r="L12" s="472">
        <f ca="1">'COPA AMERICA'!X14</f>
        <v>0</v>
      </c>
      <c r="M12" s="319"/>
      <c r="N12" s="353"/>
      <c r="O12" s="353"/>
      <c r="P12" s="407"/>
      <c r="R12" s="355"/>
      <c r="S12" s="355"/>
      <c r="T12" s="355"/>
      <c r="U12" s="354"/>
      <c r="V12" s="356"/>
      <c r="W12" s="356"/>
      <c r="X12" s="356"/>
      <c r="Y12" s="354"/>
      <c r="Z12" s="355"/>
      <c r="AA12" s="355"/>
      <c r="AB12" s="355"/>
      <c r="AC12" s="405"/>
      <c r="AD12" s="353"/>
      <c r="AE12" s="353"/>
      <c r="AF12" s="353"/>
      <c r="AG12" s="319"/>
      <c r="AH12" s="473"/>
      <c r="AI12" s="474" t="str">
        <f ca="1">MID('COPA AMERICA'!I29,1,3)</f>
        <v>Bra</v>
      </c>
      <c r="AJ12" s="475">
        <f>'COPA AMERICA'!K29</f>
        <v>0</v>
      </c>
      <c r="AK12" s="475">
        <f>'COPA AMERICA'!L29</f>
        <v>0</v>
      </c>
      <c r="AL12" s="476" t="str">
        <f ca="1">MID('COPA AMERICA'!N29,1,3)</f>
        <v>Cos</v>
      </c>
      <c r="AM12" s="319">
        <v>1</v>
      </c>
      <c r="AN12" s="477" t="str">
        <f ca="1">MID('COPA AMERICA'!R30,1,3)</f>
        <v>Bra</v>
      </c>
      <c r="AO12" s="478">
        <f ca="1">'COPA AMERICA'!S30</f>
        <v>0</v>
      </c>
      <c r="AP12" s="479">
        <f ca="1">'COPA AMERICA'!T30</f>
        <v>0</v>
      </c>
      <c r="AQ12" s="479">
        <f ca="1">'COPA AMERICA'!Z30</f>
        <v>0</v>
      </c>
      <c r="AR12" s="480">
        <f ca="1">'COPA AMERICA'!X30</f>
        <v>0</v>
      </c>
      <c r="AS12" s="319"/>
    </row>
    <row r="13" spans="1:45" x14ac:dyDescent="0.3">
      <c r="A13" s="319"/>
      <c r="B13" s="448"/>
      <c r="C13" s="465" t="str">
        <f ca="1">MID('COPA AMERICA'!I14,1,3)</f>
        <v>Ecu</v>
      </c>
      <c r="D13" s="466">
        <f>'COPA AMERICA'!K14</f>
        <v>0</v>
      </c>
      <c r="E13" s="467">
        <f>'COPA AMERICA'!L14</f>
        <v>0</v>
      </c>
      <c r="F13" s="468" t="str">
        <f ca="1">MID('COPA AMERICA'!N14,1,3)</f>
        <v>Jam</v>
      </c>
      <c r="G13" s="319">
        <v>2</v>
      </c>
      <c r="H13" s="469" t="str">
        <f ca="1">MID('COPA AMERICA'!R15,1,3)</f>
        <v>Ecu</v>
      </c>
      <c r="I13" s="470">
        <f ca="1">'COPA AMERICA'!S15</f>
        <v>0</v>
      </c>
      <c r="J13" s="471">
        <f ca="1">'COPA AMERICA'!T15</f>
        <v>0</v>
      </c>
      <c r="K13" s="471">
        <f ca="1">'COPA AMERICA'!Z15</f>
        <v>0</v>
      </c>
      <c r="L13" s="472">
        <f ca="1">'COPA AMERICA'!X15</f>
        <v>0</v>
      </c>
      <c r="M13" s="319"/>
      <c r="N13" s="383" t="str">
        <f ca="1">MID('COPA AMERICA'!I38,1,3)</f>
        <v>1B</v>
      </c>
      <c r="O13" s="384" t="str">
        <f>IF(ISBLANK('COPA AMERICA'!K38),"",('COPA AMERICA'!K38))</f>
        <v/>
      </c>
      <c r="P13" s="481" t="str">
        <f>IF(ISBLANK('COPA AMERICA'!J38),"","("&amp;('COPA AMERICA'!J38)&amp;")")</f>
        <v/>
      </c>
      <c r="R13" s="355"/>
      <c r="S13" s="355"/>
      <c r="T13" s="355"/>
      <c r="U13" s="354"/>
      <c r="V13" s="356"/>
      <c r="W13" s="356"/>
      <c r="X13" s="356"/>
      <c r="Y13" s="354"/>
      <c r="Z13" s="355"/>
      <c r="AA13" s="355"/>
      <c r="AB13" s="355"/>
      <c r="AC13" s="405"/>
      <c r="AD13" s="353"/>
      <c r="AE13" s="353"/>
      <c r="AF13" s="482"/>
      <c r="AG13" s="319"/>
      <c r="AH13" s="473"/>
      <c r="AI13" s="474" t="str">
        <f ca="1">MID('COPA AMERICA'!I30,1,3)</f>
        <v>Col</v>
      </c>
      <c r="AJ13" s="475">
        <f>'COPA AMERICA'!K30</f>
        <v>0</v>
      </c>
      <c r="AK13" s="475">
        <f>'COPA AMERICA'!L30</f>
        <v>0</v>
      </c>
      <c r="AL13" s="476" t="str">
        <f ca="1">MID('COPA AMERICA'!N30,1,3)</f>
        <v>Cos</v>
      </c>
      <c r="AM13" s="319">
        <v>2</v>
      </c>
      <c r="AN13" s="477" t="str">
        <f ca="1">MID('COPA AMERICA'!R31,1,3)</f>
        <v>Col</v>
      </c>
      <c r="AO13" s="478">
        <f ca="1">'COPA AMERICA'!S31</f>
        <v>0</v>
      </c>
      <c r="AP13" s="479">
        <f ca="1">'COPA AMERICA'!T31</f>
        <v>0</v>
      </c>
      <c r="AQ13" s="479">
        <f ca="1">'COPA AMERICA'!Z31</f>
        <v>0</v>
      </c>
      <c r="AR13" s="480">
        <f ca="1">'COPA AMERICA'!X31</f>
        <v>0</v>
      </c>
      <c r="AS13" s="319"/>
    </row>
    <row r="14" spans="1:45" x14ac:dyDescent="0.3">
      <c r="A14" s="319"/>
      <c r="B14" s="448"/>
      <c r="C14" s="483" t="str">
        <f ca="1">MID('COPA AMERICA'!I15,1,3)</f>
        <v>Ven</v>
      </c>
      <c r="D14" s="484">
        <f>'COPA AMERICA'!K15</f>
        <v>0</v>
      </c>
      <c r="E14" s="485">
        <f>'COPA AMERICA'!L15</f>
        <v>0</v>
      </c>
      <c r="F14" s="486" t="str">
        <f ca="1">MID('COPA AMERICA'!N15,1,3)</f>
        <v>Méx</v>
      </c>
      <c r="G14" s="319">
        <v>3</v>
      </c>
      <c r="H14" s="469" t="str">
        <f ca="1">MID('COPA AMERICA'!R16,1,3)</f>
        <v>Ven</v>
      </c>
      <c r="I14" s="470">
        <f ca="1">'COPA AMERICA'!S16</f>
        <v>0</v>
      </c>
      <c r="J14" s="471">
        <f ca="1">'COPA AMERICA'!T16</f>
        <v>0</v>
      </c>
      <c r="K14" s="471">
        <f ca="1">'COPA AMERICA'!Z16</f>
        <v>0</v>
      </c>
      <c r="L14" s="472">
        <f ca="1">'COPA AMERICA'!X16</f>
        <v>0</v>
      </c>
      <c r="M14" s="319"/>
      <c r="N14" s="383" t="str">
        <f ca="1">MID('COPA AMERICA'!N38,1,3)</f>
        <v>2A</v>
      </c>
      <c r="O14" s="384" t="str">
        <f>IF(ISBLANK('COPA AMERICA'!L38),"",('COPA AMERICA'!L38))</f>
        <v/>
      </c>
      <c r="P14" s="487" t="str">
        <f>IF(ISBLANK('COPA AMERICA'!M38),"","("&amp;('COPA AMERICA'!M38)&amp;")")</f>
        <v/>
      </c>
      <c r="R14" s="355"/>
      <c r="S14" s="355"/>
      <c r="T14" s="355"/>
      <c r="U14" s="354"/>
      <c r="V14" s="356"/>
      <c r="W14" s="488" t="str">
        <f>MID('COPA AMERICA'!I56,1,3)</f>
        <v>WF</v>
      </c>
      <c r="X14" s="488"/>
      <c r="Y14" s="354"/>
      <c r="Z14" s="355"/>
      <c r="AA14" s="355"/>
      <c r="AB14" s="355"/>
      <c r="AC14" s="405"/>
      <c r="AD14" s="392" t="str">
        <f>IF(ISBLANK('COPA AMERICA'!J40),"","("&amp;('COPA AMERICA'!J40)&amp;")")</f>
        <v/>
      </c>
      <c r="AE14" s="384" t="str">
        <f>IF(ISBLANK('COPA AMERICA'!K39),"",('COPA AMERICA'!K39))</f>
        <v/>
      </c>
      <c r="AF14" s="383" t="str">
        <f ca="1">MID('COPA AMERICA'!I39,1,3)</f>
        <v>1D</v>
      </c>
      <c r="AG14" s="319"/>
      <c r="AH14" s="489"/>
      <c r="AI14" s="474" t="str">
        <f ca="1">MID('COPA AMERICA'!I31,1,3)</f>
        <v>Par</v>
      </c>
      <c r="AJ14" s="475">
        <f>'COPA AMERICA'!K31</f>
        <v>0</v>
      </c>
      <c r="AK14" s="475">
        <f>'COPA AMERICA'!L31</f>
        <v>0</v>
      </c>
      <c r="AL14" s="476" t="str">
        <f ca="1">MID('COPA AMERICA'!N31,1,3)</f>
        <v>Bra</v>
      </c>
      <c r="AM14" s="319">
        <v>3</v>
      </c>
      <c r="AN14" s="477" t="str">
        <f ca="1">MID('COPA AMERICA'!R32,1,3)</f>
        <v>Par</v>
      </c>
      <c r="AO14" s="478">
        <f ca="1">'COPA AMERICA'!S32</f>
        <v>0</v>
      </c>
      <c r="AP14" s="479">
        <f ca="1">'COPA AMERICA'!T32</f>
        <v>0</v>
      </c>
      <c r="AQ14" s="479">
        <f ca="1">'COPA AMERICA'!Z32</f>
        <v>0</v>
      </c>
      <c r="AR14" s="480">
        <f ca="1">'COPA AMERICA'!X32</f>
        <v>0</v>
      </c>
      <c r="AS14" s="319"/>
    </row>
    <row r="15" spans="1:45" x14ac:dyDescent="0.3">
      <c r="A15" s="319"/>
      <c r="B15" s="448"/>
      <c r="C15" s="483" t="str">
        <f ca="1">MID('COPA AMERICA'!I16,1,3)</f>
        <v>Méx</v>
      </c>
      <c r="D15" s="484">
        <f>'COPA AMERICA'!K16</f>
        <v>0</v>
      </c>
      <c r="E15" s="485">
        <f>'COPA AMERICA'!L16</f>
        <v>0</v>
      </c>
      <c r="F15" s="486" t="str">
        <f ca="1">MID('COPA AMERICA'!N16,1,3)</f>
        <v>Ecu</v>
      </c>
      <c r="G15" s="319">
        <v>4</v>
      </c>
      <c r="H15" s="490" t="str">
        <f ca="1">MID('COPA AMERICA'!R17,1,3)</f>
        <v>Jam</v>
      </c>
      <c r="I15" s="491">
        <f ca="1">'COPA AMERICA'!S17</f>
        <v>0</v>
      </c>
      <c r="J15" s="471">
        <f ca="1">'COPA AMERICA'!T17</f>
        <v>0</v>
      </c>
      <c r="K15" s="492">
        <f ca="1">'COPA AMERICA'!Z17</f>
        <v>0</v>
      </c>
      <c r="L15" s="493">
        <f ca="1">'COPA AMERICA'!X17</f>
        <v>0</v>
      </c>
      <c r="M15" s="319"/>
      <c r="N15" s="353"/>
      <c r="O15" s="353"/>
      <c r="P15" s="353"/>
      <c r="R15" s="355"/>
      <c r="S15" s="355"/>
      <c r="T15" s="355"/>
      <c r="U15" s="354"/>
      <c r="V15" s="356"/>
      <c r="W15" s="494"/>
      <c r="X15" s="488" t="str">
        <f>MID('COPA AMERICA'!I57,1,3)</f>
        <v>LF</v>
      </c>
      <c r="Y15" s="354"/>
      <c r="Z15" s="355"/>
      <c r="AA15" s="355"/>
      <c r="AB15" s="355"/>
      <c r="AD15" s="406" t="str">
        <f>IF(ISBLANK('COPA AMERICA'!M40),"","("&amp;('COPA AMERICA'!M40)&amp;")")</f>
        <v/>
      </c>
      <c r="AE15" s="384" t="str">
        <f>IF(ISBLANK('COPA AMERICA'!L39),"",('COPA AMERICA'!L39))</f>
        <v/>
      </c>
      <c r="AF15" s="383" t="str">
        <f ca="1">MID('COPA AMERICA'!N39,1,3)</f>
        <v>2C</v>
      </c>
      <c r="AG15" s="319"/>
      <c r="AH15" s="489"/>
      <c r="AI15" s="474" t="str">
        <f ca="1">MID('COPA AMERICA'!I32,1,3)</f>
        <v>Bra</v>
      </c>
      <c r="AJ15" s="475">
        <f>'COPA AMERICA'!K32</f>
        <v>0</v>
      </c>
      <c r="AK15" s="475">
        <f>'COPA AMERICA'!L32</f>
        <v>0</v>
      </c>
      <c r="AL15" s="476" t="str">
        <f ca="1">MID('COPA AMERICA'!N32,1,3)</f>
        <v>Col</v>
      </c>
      <c r="AM15" s="319">
        <v>4</v>
      </c>
      <c r="AN15" s="477" t="str">
        <f ca="1">MID('COPA AMERICA'!R33,1,3)</f>
        <v>Cos</v>
      </c>
      <c r="AO15" s="478">
        <f ca="1">'COPA AMERICA'!S33</f>
        <v>0</v>
      </c>
      <c r="AP15" s="479">
        <f ca="1">'COPA AMERICA'!T33</f>
        <v>0</v>
      </c>
      <c r="AQ15" s="479">
        <f ca="1">'COPA AMERICA'!Z33</f>
        <v>0</v>
      </c>
      <c r="AR15" s="480">
        <f ca="1">'COPA AMERICA'!X33</f>
        <v>0</v>
      </c>
      <c r="AS15" s="319"/>
    </row>
    <row r="16" spans="1:45" ht="15" thickBot="1" x14ac:dyDescent="0.35">
      <c r="A16" s="319"/>
      <c r="B16" s="495"/>
      <c r="C16" s="496" t="str">
        <f ca="1">MID('COPA AMERICA'!I17,1,3)</f>
        <v>Jam</v>
      </c>
      <c r="D16" s="497">
        <f>'COPA AMERICA'!K17</f>
        <v>0</v>
      </c>
      <c r="E16" s="498">
        <f>'COPA AMERICA'!L17</f>
        <v>0</v>
      </c>
      <c r="F16" s="499" t="str">
        <f ca="1">MID('COPA AMERICA'!N17,1,3)</f>
        <v>Ven</v>
      </c>
      <c r="G16" s="500"/>
      <c r="H16" s="501"/>
      <c r="I16" s="502"/>
      <c r="J16" s="502"/>
      <c r="K16" s="502"/>
      <c r="L16" s="503"/>
      <c r="M16" s="319"/>
      <c r="N16" s="353"/>
      <c r="O16" s="353"/>
      <c r="P16" s="353"/>
      <c r="R16" s="355"/>
      <c r="S16" s="355"/>
      <c r="T16" s="355"/>
      <c r="U16" s="354"/>
      <c r="V16" s="356" t="str">
        <f>MID('COPA AMERICA'!I58,1,3)</f>
        <v>W34</v>
      </c>
      <c r="W16" s="494"/>
      <c r="X16" s="504"/>
      <c r="Y16" s="354"/>
      <c r="Z16" s="355"/>
      <c r="AA16" s="355"/>
      <c r="AB16" s="355"/>
      <c r="AD16" s="353"/>
      <c r="AE16" s="353"/>
      <c r="AF16" s="353"/>
      <c r="AG16" s="319"/>
      <c r="AH16" s="505"/>
      <c r="AI16" s="506" t="str">
        <f ca="1">MID('COPA AMERICA'!I33,1,3)</f>
        <v>Cos</v>
      </c>
      <c r="AJ16" s="507">
        <f>'COPA AMERICA'!K33</f>
        <v>0</v>
      </c>
      <c r="AK16" s="507">
        <f>'COPA AMERICA'!L33</f>
        <v>0</v>
      </c>
      <c r="AL16" s="508" t="str">
        <f ca="1">MID('COPA AMERICA'!N33,1,3)</f>
        <v>Par</v>
      </c>
      <c r="AM16" s="509"/>
      <c r="AN16" s="510"/>
      <c r="AO16" s="510"/>
      <c r="AP16" s="510"/>
      <c r="AQ16" s="510"/>
      <c r="AR16" s="511"/>
      <c r="AS16" s="319"/>
    </row>
    <row r="17" spans="1:45" x14ac:dyDescent="0.3">
      <c r="A17" s="319"/>
      <c r="B17" s="342"/>
      <c r="C17" s="431"/>
      <c r="D17" s="344"/>
      <c r="E17" s="344"/>
      <c r="F17" s="342"/>
      <c r="G17" s="319"/>
      <c r="H17" s="431"/>
      <c r="I17" s="319"/>
      <c r="J17" s="319"/>
      <c r="K17" s="319"/>
      <c r="L17" s="319"/>
      <c r="M17" s="319"/>
      <c r="N17" s="353"/>
      <c r="O17" s="353"/>
      <c r="P17" s="353"/>
      <c r="R17" s="355"/>
      <c r="S17" s="355"/>
      <c r="T17" s="355"/>
      <c r="U17" s="354"/>
      <c r="V17" s="512" t="s">
        <v>516</v>
      </c>
      <c r="W17" s="513" t="s">
        <v>194</v>
      </c>
      <c r="X17" s="514" t="s">
        <v>193</v>
      </c>
      <c r="Y17" s="354"/>
      <c r="Z17" s="355"/>
      <c r="AA17" s="355"/>
      <c r="AB17" s="355"/>
      <c r="AD17" s="353"/>
      <c r="AE17" s="353"/>
      <c r="AF17" s="353"/>
      <c r="AG17" s="319"/>
      <c r="AH17" s="319"/>
      <c r="AI17" s="319"/>
      <c r="AJ17" s="319"/>
      <c r="AK17" s="319"/>
      <c r="AL17" s="319"/>
      <c r="AM17" s="319"/>
      <c r="AN17" s="319"/>
      <c r="AO17" s="319"/>
      <c r="AP17" s="319"/>
      <c r="AQ17" s="319"/>
      <c r="AR17" s="319"/>
      <c r="AS17" s="319"/>
    </row>
    <row r="18" spans="1:45" x14ac:dyDescent="0.3">
      <c r="A18" s="319"/>
      <c r="B18" s="515"/>
      <c r="C18" s="516"/>
      <c r="D18" s="517"/>
      <c r="E18" s="517"/>
      <c r="F18" s="515"/>
      <c r="G18" s="518"/>
      <c r="H18" s="516"/>
      <c r="I18" s="518"/>
      <c r="J18" s="518"/>
      <c r="K18" s="518"/>
      <c r="L18" s="518"/>
      <c r="M18" s="518"/>
      <c r="N18" s="518"/>
      <c r="O18" s="518"/>
      <c r="P18" s="518"/>
      <c r="Q18" s="518"/>
      <c r="R18" s="518"/>
      <c r="S18" s="518"/>
      <c r="T18" s="518"/>
      <c r="U18" s="518" t="e" vm="5">
        <v>#VALUE!</v>
      </c>
      <c r="V18" s="518" t="str">
        <f>IF('COPA AMERICA'!I61=Idiomas!D35,"",'COPA AMERICA'!I61)</f>
        <v/>
      </c>
      <c r="W18" s="518"/>
      <c r="X18" s="518"/>
      <c r="Y18" s="518"/>
      <c r="Z18" s="518"/>
      <c r="AA18" s="518"/>
      <c r="AB18" s="518"/>
      <c r="AC18" s="518"/>
      <c r="AD18" s="518"/>
      <c r="AE18" s="518"/>
      <c r="AF18" s="518"/>
      <c r="AG18" s="518"/>
      <c r="AH18" s="518"/>
      <c r="AI18" s="518"/>
      <c r="AJ18" s="518"/>
      <c r="AK18" s="518"/>
      <c r="AL18" s="518"/>
      <c r="AM18" s="518"/>
      <c r="AN18" s="518"/>
      <c r="AO18" s="518"/>
      <c r="AP18" s="518"/>
      <c r="AQ18" s="518"/>
      <c r="AR18" s="518"/>
      <c r="AS18" s="319"/>
    </row>
    <row r="19" spans="1:45" x14ac:dyDescent="0.3">
      <c r="A19" s="319"/>
      <c r="B19" s="518"/>
      <c r="C19" s="518"/>
      <c r="D19" s="518"/>
      <c r="E19" s="518"/>
      <c r="F19" s="518"/>
      <c r="G19" s="518"/>
      <c r="H19" s="518"/>
      <c r="I19" s="518"/>
      <c r="J19" s="518"/>
      <c r="K19" s="518"/>
      <c r="L19" s="518"/>
      <c r="M19" s="518"/>
      <c r="N19" s="518"/>
      <c r="O19" s="518"/>
      <c r="P19" s="518"/>
      <c r="Q19" s="518"/>
      <c r="R19" s="518"/>
      <c r="S19" s="518"/>
      <c r="T19" s="518"/>
      <c r="U19" s="518" t="e" vm="6">
        <v>#VALUE!</v>
      </c>
      <c r="V19" s="518" t="str">
        <f>IF('COPA AMERICA'!I62=Idiomas!D36,"",'COPA AMERICA'!I62)</f>
        <v/>
      </c>
      <c r="W19" s="518"/>
      <c r="X19" s="518"/>
      <c r="Y19" s="518"/>
      <c r="Z19" s="518"/>
      <c r="AA19" s="518"/>
      <c r="AB19" s="518"/>
      <c r="AC19" s="518"/>
      <c r="AD19" s="518"/>
      <c r="AE19" s="518"/>
      <c r="AF19" s="518"/>
      <c r="AG19" s="518"/>
      <c r="AH19" s="518"/>
      <c r="AI19" s="518"/>
      <c r="AJ19" s="518"/>
      <c r="AK19" s="518"/>
      <c r="AL19" s="518"/>
      <c r="AM19" s="518"/>
      <c r="AN19" s="518"/>
      <c r="AO19" s="518"/>
      <c r="AP19" s="518"/>
      <c r="AQ19" s="518"/>
      <c r="AR19" s="518"/>
      <c r="AS19" s="319"/>
    </row>
    <row r="20" spans="1:45" x14ac:dyDescent="0.3">
      <c r="A20" s="319"/>
      <c r="B20" s="518"/>
      <c r="C20" s="518"/>
      <c r="D20" s="518"/>
      <c r="E20" s="518"/>
      <c r="F20" s="518"/>
      <c r="G20" s="518"/>
      <c r="H20" s="518"/>
      <c r="I20" s="518"/>
      <c r="J20" s="518"/>
      <c r="K20" s="518"/>
      <c r="L20" s="518"/>
      <c r="M20" s="518"/>
      <c r="N20" s="518"/>
      <c r="O20" s="518"/>
      <c r="P20" s="518"/>
      <c r="Q20" s="518"/>
      <c r="R20" s="518"/>
      <c r="S20" s="518"/>
      <c r="T20" s="518"/>
      <c r="U20" s="518" t="e" vm="7">
        <v>#VALUE!</v>
      </c>
      <c r="V20" s="518" t="str">
        <f>IF('COPA AMERICA'!I63=Idiomas!D37,"",'COPA AMERICA'!I63)</f>
        <v/>
      </c>
      <c r="W20" s="518"/>
      <c r="X20" s="518"/>
      <c r="Y20" s="518"/>
      <c r="Z20" s="518"/>
      <c r="AA20" s="518"/>
      <c r="AB20" s="518"/>
      <c r="AC20" s="518"/>
      <c r="AD20" s="518"/>
      <c r="AE20" s="518"/>
      <c r="AF20" s="518"/>
      <c r="AG20" s="518"/>
      <c r="AH20" s="518"/>
      <c r="AI20" s="518"/>
      <c r="AJ20" s="518"/>
      <c r="AK20" s="518"/>
      <c r="AL20" s="518"/>
      <c r="AM20" s="518"/>
      <c r="AN20" s="518"/>
      <c r="AO20" s="518"/>
      <c r="AP20" s="518"/>
      <c r="AQ20" s="518"/>
      <c r="AR20" s="518"/>
      <c r="AS20" s="319"/>
    </row>
    <row r="21" spans="1:45" x14ac:dyDescent="0.3">
      <c r="A21" s="319"/>
      <c r="AB21" s="319"/>
      <c r="AC21" s="319"/>
      <c r="AD21" s="319"/>
      <c r="AE21" s="319"/>
      <c r="AF21" s="319"/>
      <c r="AG21" s="319"/>
      <c r="AH21" s="319"/>
      <c r="AI21" s="319"/>
      <c r="AJ21" s="319"/>
      <c r="AK21" s="319"/>
      <c r="AL21" s="319"/>
      <c r="AM21" s="319"/>
      <c r="AN21" s="319"/>
      <c r="AO21" s="319"/>
      <c r="AP21" s="319"/>
      <c r="AQ21" s="319"/>
      <c r="AR21" s="319"/>
      <c r="AS21" s="319"/>
    </row>
    <row r="22" spans="1:45" x14ac:dyDescent="0.3">
      <c r="A22" s="319"/>
      <c r="AJ22" s="319"/>
      <c r="AK22" s="319"/>
      <c r="AL22" s="319"/>
      <c r="AM22" s="319"/>
      <c r="AN22" s="319"/>
      <c r="AO22" s="319"/>
      <c r="AP22" s="319"/>
      <c r="AQ22" s="319"/>
      <c r="AR22" s="319"/>
      <c r="AS22" s="319"/>
    </row>
    <row r="23" spans="1:45" x14ac:dyDescent="0.3">
      <c r="A23" s="319"/>
      <c r="K23" s="519"/>
      <c r="L23" s="520"/>
      <c r="M23" s="520"/>
      <c r="N23" s="521" t="str">
        <f>PROPER(Idiomas!D88)</f>
        <v>Fase De Grupos</v>
      </c>
      <c r="O23" s="521"/>
      <c r="P23" s="521"/>
      <c r="Q23" s="521"/>
      <c r="R23" s="522" t="str">
        <f>Idiomas!D24</f>
        <v>Cuartos de final</v>
      </c>
      <c r="S23" s="522"/>
      <c r="T23" s="522"/>
      <c r="U23" s="522"/>
      <c r="V23" s="523" t="str">
        <f>Idiomas!D25</f>
        <v>Semifinales</v>
      </c>
      <c r="W23" s="523"/>
      <c r="X23" s="523"/>
      <c r="Y23" s="523"/>
      <c r="Z23" s="524" t="str">
        <f>Idiomas!D31</f>
        <v>3º puesto</v>
      </c>
      <c r="AA23" s="524"/>
      <c r="AB23" s="524"/>
      <c r="AC23" s="524"/>
      <c r="AD23" s="525" t="str">
        <f>Idiomas!D30</f>
        <v>Subcampeón</v>
      </c>
      <c r="AE23" s="525"/>
      <c r="AF23" s="525"/>
      <c r="AG23" s="525"/>
      <c r="AH23" s="526" t="str">
        <f>Idiomas!D29</f>
        <v>Campeón</v>
      </c>
      <c r="AI23" s="526"/>
      <c r="AJ23" s="527"/>
      <c r="AK23" s="319"/>
      <c r="AL23" s="319"/>
      <c r="AM23" s="319"/>
      <c r="AN23" s="319"/>
      <c r="AO23" s="319"/>
      <c r="AP23" s="319"/>
      <c r="AQ23" s="319"/>
      <c r="AR23" s="319"/>
      <c r="AS23" s="319"/>
    </row>
    <row r="24" spans="1:45" x14ac:dyDescent="0.3">
      <c r="A24" s="319"/>
      <c r="K24" s="528"/>
      <c r="L24" s="319"/>
      <c r="M24" s="529" t="str">
        <f>Equipos!B2</f>
        <v>Argentina</v>
      </c>
      <c r="N24" s="530">
        <f ca="1">1-SUM(R24:AH24)</f>
        <v>1</v>
      </c>
      <c r="O24" s="530"/>
      <c r="P24" s="530"/>
      <c r="Q24" s="530"/>
      <c r="R24" s="530">
        <f ca="1">COUNTIF(Quiniela!$C$50:$C$57,Fixture!M24)-V24-Z24-AD24-AH24</f>
        <v>0</v>
      </c>
      <c r="S24" s="531"/>
      <c r="T24" s="531"/>
      <c r="U24" s="531"/>
      <c r="V24" s="531">
        <f>COUNTIF(Quiniela!$C$66:$C$69,Fixture!M24)-Z24-AD24-AH24</f>
        <v>0</v>
      </c>
      <c r="W24" s="531"/>
      <c r="X24" s="531"/>
      <c r="Y24" s="531"/>
      <c r="Z24" s="531">
        <f>COUNTIF(Quiniela!$C$92,Fixture!M24)</f>
        <v>0</v>
      </c>
      <c r="AA24" s="531"/>
      <c r="AB24" s="531"/>
      <c r="AC24" s="531"/>
      <c r="AD24" s="531">
        <f>COUNTIF(Quiniela!$C$91,Fixture!M24)</f>
        <v>0</v>
      </c>
      <c r="AE24" s="531"/>
      <c r="AF24" s="531"/>
      <c r="AG24" s="531"/>
      <c r="AH24" s="531">
        <f>COUNTIF(Quiniela!$C$90,Fixture!M24)</f>
        <v>0</v>
      </c>
      <c r="AI24" s="531"/>
      <c r="AJ24" s="532"/>
      <c r="AK24" s="319"/>
      <c r="AL24" s="319"/>
      <c r="AM24" s="319"/>
      <c r="AN24" s="319"/>
      <c r="AO24" s="319"/>
      <c r="AP24" s="319"/>
      <c r="AQ24" s="319"/>
      <c r="AR24" s="319"/>
      <c r="AS24" s="319"/>
    </row>
    <row r="25" spans="1:45" x14ac:dyDescent="0.3">
      <c r="A25" s="319"/>
      <c r="K25" s="528"/>
      <c r="L25" s="319"/>
      <c r="M25" s="529" t="str">
        <f>Equipos!B3</f>
        <v>Perú</v>
      </c>
      <c r="N25" s="530">
        <f t="shared" ref="N25:N39" ca="1" si="1">1-SUM(R25:AH25)</f>
        <v>1</v>
      </c>
      <c r="O25" s="530"/>
      <c r="P25" s="530"/>
      <c r="Q25" s="530"/>
      <c r="R25" s="530">
        <f ca="1">COUNTIF(Quiniela!$C$50:$C$57,Fixture!M25)-V25-Z25-AD25-AH25</f>
        <v>0</v>
      </c>
      <c r="S25" s="531"/>
      <c r="T25" s="531"/>
      <c r="U25" s="531"/>
      <c r="V25" s="531">
        <f>COUNTIF(Quiniela!$C$66:$C$69,Fixture!M25)-Z25-AD25-AH25</f>
        <v>0</v>
      </c>
      <c r="W25" s="531"/>
      <c r="X25" s="531"/>
      <c r="Y25" s="531"/>
      <c r="Z25" s="531">
        <f>COUNTIF(Quiniela!$C$92,Fixture!M25)</f>
        <v>0</v>
      </c>
      <c r="AA25" s="531"/>
      <c r="AB25" s="531"/>
      <c r="AC25" s="531"/>
      <c r="AD25" s="531">
        <f>COUNTIF(Quiniela!$C$91,Fixture!M25)</f>
        <v>0</v>
      </c>
      <c r="AE25" s="531"/>
      <c r="AF25" s="531"/>
      <c r="AG25" s="531"/>
      <c r="AH25" s="531">
        <f>COUNTIF(Quiniela!$C$90,Fixture!M25)</f>
        <v>0</v>
      </c>
      <c r="AI25" s="531"/>
      <c r="AJ25" s="532"/>
      <c r="AK25" s="319"/>
      <c r="AL25" s="319"/>
      <c r="AM25" s="319"/>
      <c r="AN25" s="319"/>
      <c r="AO25" s="319"/>
      <c r="AP25" s="319"/>
      <c r="AQ25" s="319"/>
      <c r="AR25" s="319"/>
      <c r="AS25" s="319"/>
    </row>
    <row r="26" spans="1:45" x14ac:dyDescent="0.3">
      <c r="A26" s="319"/>
      <c r="K26" s="528"/>
      <c r="L26" s="319"/>
      <c r="M26" s="529" t="str">
        <f>Equipos!B4</f>
        <v>Chile</v>
      </c>
      <c r="N26" s="530">
        <f t="shared" ca="1" si="1"/>
        <v>1</v>
      </c>
      <c r="O26" s="530"/>
      <c r="P26" s="530"/>
      <c r="Q26" s="530"/>
      <c r="R26" s="530">
        <f ca="1">COUNTIF(Quiniela!$C$50:$C$57,Fixture!M26)-V26-Z26-AD26-AH26</f>
        <v>0</v>
      </c>
      <c r="S26" s="531"/>
      <c r="T26" s="531"/>
      <c r="U26" s="531"/>
      <c r="V26" s="531">
        <f>COUNTIF(Quiniela!$C$66:$C$69,Fixture!M26)-Z26-AD26-AH26</f>
        <v>0</v>
      </c>
      <c r="W26" s="531"/>
      <c r="X26" s="531"/>
      <c r="Y26" s="531"/>
      <c r="Z26" s="531">
        <f>COUNTIF(Quiniela!$C$92,Fixture!M26)</f>
        <v>0</v>
      </c>
      <c r="AA26" s="531"/>
      <c r="AB26" s="531"/>
      <c r="AC26" s="531"/>
      <c r="AD26" s="531">
        <f>COUNTIF(Quiniela!$C$91,Fixture!M26)</f>
        <v>0</v>
      </c>
      <c r="AE26" s="531"/>
      <c r="AF26" s="531"/>
      <c r="AG26" s="531"/>
      <c r="AH26" s="531">
        <f>COUNTIF(Quiniela!$C$90,Fixture!M26)</f>
        <v>0</v>
      </c>
      <c r="AI26" s="531"/>
      <c r="AJ26" s="532"/>
      <c r="AK26" s="319"/>
      <c r="AL26" s="319"/>
      <c r="AM26" s="319"/>
      <c r="AN26" s="319"/>
      <c r="AO26" s="319"/>
      <c r="AP26" s="319"/>
      <c r="AQ26" s="319"/>
      <c r="AR26" s="319"/>
      <c r="AS26" s="319"/>
    </row>
    <row r="27" spans="1:45" x14ac:dyDescent="0.3">
      <c r="A27" s="319"/>
      <c r="K27" s="528"/>
      <c r="L27" s="319"/>
      <c r="M27" s="529" t="str">
        <f>Equipos!B5</f>
        <v>Canadá</v>
      </c>
      <c r="N27" s="530">
        <f t="shared" ca="1" si="1"/>
        <v>1</v>
      </c>
      <c r="O27" s="530"/>
      <c r="P27" s="530"/>
      <c r="Q27" s="530"/>
      <c r="R27" s="530">
        <f ca="1">COUNTIF(Quiniela!$C$50:$C$57,Fixture!M27)-V27-Z27-AD27-AH27</f>
        <v>0</v>
      </c>
      <c r="S27" s="531"/>
      <c r="T27" s="531"/>
      <c r="U27" s="531"/>
      <c r="V27" s="531">
        <f>COUNTIF(Quiniela!$C$66:$C$69,Fixture!M27)-Z27-AD27-AH27</f>
        <v>0</v>
      </c>
      <c r="W27" s="531"/>
      <c r="X27" s="531"/>
      <c r="Y27" s="531"/>
      <c r="Z27" s="531">
        <f>COUNTIF(Quiniela!$C$92,Fixture!M27)</f>
        <v>0</v>
      </c>
      <c r="AA27" s="531"/>
      <c r="AB27" s="531"/>
      <c r="AC27" s="531"/>
      <c r="AD27" s="531">
        <f>COUNTIF(Quiniela!$C$91,Fixture!M27)</f>
        <v>0</v>
      </c>
      <c r="AE27" s="531"/>
      <c r="AF27" s="531"/>
      <c r="AG27" s="531"/>
      <c r="AH27" s="531">
        <f>COUNTIF(Quiniela!$C$90,Fixture!M27)</f>
        <v>0</v>
      </c>
      <c r="AI27" s="531"/>
      <c r="AJ27" s="532"/>
      <c r="AK27" s="319"/>
      <c r="AL27" s="319"/>
      <c r="AM27" s="319"/>
      <c r="AN27" s="319"/>
      <c r="AO27" s="319"/>
      <c r="AP27" s="319"/>
      <c r="AQ27" s="319"/>
      <c r="AR27" s="319"/>
      <c r="AS27" s="319"/>
    </row>
    <row r="28" spans="1:45" x14ac:dyDescent="0.3">
      <c r="A28" s="319"/>
      <c r="K28" s="528"/>
      <c r="L28" s="319"/>
      <c r="M28" s="529" t="str">
        <f>Equipos!B6</f>
        <v>México</v>
      </c>
      <c r="N28" s="530">
        <f t="shared" ca="1" si="1"/>
        <v>1</v>
      </c>
      <c r="O28" s="530"/>
      <c r="P28" s="530"/>
      <c r="Q28" s="530"/>
      <c r="R28" s="530">
        <f ca="1">COUNTIF(Quiniela!$C$50:$C$57,Fixture!M28)-V28-Z28-AD28-AH28</f>
        <v>0</v>
      </c>
      <c r="S28" s="531"/>
      <c r="T28" s="531"/>
      <c r="U28" s="531"/>
      <c r="V28" s="531">
        <f>COUNTIF(Quiniela!$C$66:$C$69,Fixture!M28)-Z28-AD28-AH28</f>
        <v>0</v>
      </c>
      <c r="W28" s="531"/>
      <c r="X28" s="531"/>
      <c r="Y28" s="531"/>
      <c r="Z28" s="531">
        <f>COUNTIF(Quiniela!$C$92,Fixture!M28)</f>
        <v>0</v>
      </c>
      <c r="AA28" s="531"/>
      <c r="AB28" s="531"/>
      <c r="AC28" s="531"/>
      <c r="AD28" s="531">
        <f>COUNTIF(Quiniela!$C$91,Fixture!M28)</f>
        <v>0</v>
      </c>
      <c r="AE28" s="531"/>
      <c r="AF28" s="531"/>
      <c r="AG28" s="531"/>
      <c r="AH28" s="531">
        <f>COUNTIF(Quiniela!$C$90,Fixture!M28)</f>
        <v>0</v>
      </c>
      <c r="AI28" s="531"/>
      <c r="AJ28" s="532"/>
      <c r="AK28" s="319"/>
      <c r="AL28" s="319"/>
      <c r="AM28" s="319"/>
      <c r="AN28" s="319"/>
      <c r="AO28" s="319"/>
      <c r="AP28" s="319"/>
      <c r="AQ28" s="319"/>
      <c r="AR28" s="319"/>
      <c r="AS28" s="319"/>
    </row>
    <row r="29" spans="1:45" x14ac:dyDescent="0.3">
      <c r="A29" s="319"/>
      <c r="K29" s="528"/>
      <c r="L29" s="319"/>
      <c r="M29" s="529" t="str">
        <f>Equipos!B7</f>
        <v>Ecuador</v>
      </c>
      <c r="N29" s="530">
        <f t="shared" ca="1" si="1"/>
        <v>1</v>
      </c>
      <c r="O29" s="530"/>
      <c r="P29" s="530"/>
      <c r="Q29" s="530"/>
      <c r="R29" s="530">
        <f ca="1">COUNTIF(Quiniela!$C$50:$C$57,Fixture!M29)-V29-Z29-AD29-AH29</f>
        <v>0</v>
      </c>
      <c r="S29" s="531"/>
      <c r="T29" s="531"/>
      <c r="U29" s="531"/>
      <c r="V29" s="531">
        <f>COUNTIF(Quiniela!$C$66:$C$69,Fixture!M29)-Z29-AD29-AH29</f>
        <v>0</v>
      </c>
      <c r="W29" s="531"/>
      <c r="X29" s="531"/>
      <c r="Y29" s="531"/>
      <c r="Z29" s="531">
        <f>COUNTIF(Quiniela!$C$92,Fixture!M29)</f>
        <v>0</v>
      </c>
      <c r="AA29" s="531"/>
      <c r="AB29" s="531"/>
      <c r="AC29" s="531"/>
      <c r="AD29" s="531">
        <f>COUNTIF(Quiniela!$C$91,Fixture!M29)</f>
        <v>0</v>
      </c>
      <c r="AE29" s="531"/>
      <c r="AF29" s="531"/>
      <c r="AG29" s="531"/>
      <c r="AH29" s="531">
        <f>COUNTIF(Quiniela!$C$90,Fixture!M29)</f>
        <v>0</v>
      </c>
      <c r="AI29" s="531"/>
      <c r="AJ29" s="532"/>
      <c r="AK29" s="319"/>
      <c r="AL29" s="319"/>
      <c r="AM29" s="319"/>
      <c r="AN29" s="319"/>
      <c r="AO29" s="319"/>
      <c r="AP29" s="319"/>
      <c r="AQ29" s="319"/>
      <c r="AR29" s="319"/>
      <c r="AS29" s="319"/>
    </row>
    <row r="30" spans="1:45" x14ac:dyDescent="0.3">
      <c r="A30" s="319"/>
      <c r="K30" s="528"/>
      <c r="L30" s="319"/>
      <c r="M30" s="529" t="str">
        <f>Equipos!B8</f>
        <v>Venezuela</v>
      </c>
      <c r="N30" s="530">
        <f t="shared" ca="1" si="1"/>
        <v>1</v>
      </c>
      <c r="O30" s="530"/>
      <c r="P30" s="530"/>
      <c r="Q30" s="530"/>
      <c r="R30" s="530">
        <f ca="1">COUNTIF(Quiniela!$C$50:$C$57,Fixture!M30)-V30-Z30-AD30-AH30</f>
        <v>0</v>
      </c>
      <c r="S30" s="531"/>
      <c r="T30" s="531"/>
      <c r="U30" s="531"/>
      <c r="V30" s="531">
        <f>COUNTIF(Quiniela!$C$66:$C$69,Fixture!M30)-Z30-AD30-AH30</f>
        <v>0</v>
      </c>
      <c r="W30" s="531"/>
      <c r="X30" s="531"/>
      <c r="Y30" s="531"/>
      <c r="Z30" s="531">
        <f>COUNTIF(Quiniela!$C$92,Fixture!M30)</f>
        <v>0</v>
      </c>
      <c r="AA30" s="531"/>
      <c r="AB30" s="531"/>
      <c r="AC30" s="531"/>
      <c r="AD30" s="531">
        <f>COUNTIF(Quiniela!$C$91,Fixture!M30)</f>
        <v>0</v>
      </c>
      <c r="AE30" s="531"/>
      <c r="AF30" s="531"/>
      <c r="AG30" s="531"/>
      <c r="AH30" s="531">
        <f>COUNTIF(Quiniela!$C$90,Fixture!M30)</f>
        <v>0</v>
      </c>
      <c r="AI30" s="531"/>
      <c r="AJ30" s="532"/>
      <c r="AK30" s="319"/>
      <c r="AL30" s="319"/>
      <c r="AM30" s="319"/>
      <c r="AN30" s="319"/>
      <c r="AO30" s="319"/>
      <c r="AP30" s="319"/>
      <c r="AQ30" s="319"/>
      <c r="AR30" s="319"/>
      <c r="AS30" s="319"/>
    </row>
    <row r="31" spans="1:45" x14ac:dyDescent="0.3">
      <c r="A31" s="319"/>
      <c r="K31" s="533"/>
      <c r="M31" s="529" t="str">
        <f>Equipos!B9</f>
        <v>Jamaica</v>
      </c>
      <c r="N31" s="530">
        <f t="shared" ca="1" si="1"/>
        <v>1</v>
      </c>
      <c r="O31" s="530"/>
      <c r="P31" s="530"/>
      <c r="Q31" s="530"/>
      <c r="R31" s="530">
        <f ca="1">COUNTIF(Quiniela!$C$50:$C$57,Fixture!M31)-V31-Z31-AD31-AH31</f>
        <v>0</v>
      </c>
      <c r="S31" s="531"/>
      <c r="T31" s="531"/>
      <c r="U31" s="531"/>
      <c r="V31" s="531">
        <f>COUNTIF(Quiniela!$C$66:$C$69,Fixture!M31)-Z31-AD31-AH31</f>
        <v>0</v>
      </c>
      <c r="W31" s="531"/>
      <c r="X31" s="531"/>
      <c r="Y31" s="531"/>
      <c r="Z31" s="531">
        <f>COUNTIF(Quiniela!$C$92,Fixture!M31)</f>
        <v>0</v>
      </c>
      <c r="AA31" s="531"/>
      <c r="AB31" s="531"/>
      <c r="AC31" s="531"/>
      <c r="AD31" s="531">
        <f>COUNTIF(Quiniela!$C$91,Fixture!M31)</f>
        <v>0</v>
      </c>
      <c r="AE31" s="531"/>
      <c r="AF31" s="531"/>
      <c r="AG31" s="531"/>
      <c r="AH31" s="531">
        <f>COUNTIF(Quiniela!$C$90,Fixture!M31)</f>
        <v>0</v>
      </c>
      <c r="AI31" s="531"/>
      <c r="AJ31" s="532"/>
      <c r="AK31" s="319"/>
      <c r="AL31" s="319"/>
      <c r="AM31" s="319"/>
      <c r="AN31" s="319"/>
      <c r="AO31" s="319"/>
      <c r="AP31" s="319"/>
      <c r="AQ31" s="319"/>
      <c r="AR31" s="319"/>
      <c r="AS31" s="319"/>
    </row>
    <row r="32" spans="1:45" x14ac:dyDescent="0.3">
      <c r="A32" s="319"/>
      <c r="K32" s="533"/>
      <c r="M32" s="529" t="str">
        <f>Equipos!B10</f>
        <v>Estados Unidos</v>
      </c>
      <c r="N32" s="530">
        <f t="shared" ca="1" si="1"/>
        <v>1</v>
      </c>
      <c r="O32" s="530"/>
      <c r="P32" s="530"/>
      <c r="Q32" s="530"/>
      <c r="R32" s="530">
        <f ca="1">COUNTIF(Quiniela!$C$50:$C$57,Fixture!M32)-V32-Z32-AD32-AH32</f>
        <v>0</v>
      </c>
      <c r="S32" s="531"/>
      <c r="T32" s="531"/>
      <c r="U32" s="531"/>
      <c r="V32" s="531">
        <f>COUNTIF(Quiniela!$C$66:$C$69,Fixture!M32)-Z32-AD32-AH32</f>
        <v>0</v>
      </c>
      <c r="W32" s="531"/>
      <c r="X32" s="531"/>
      <c r="Y32" s="531"/>
      <c r="Z32" s="531">
        <f>COUNTIF(Quiniela!$C$92,Fixture!M32)</f>
        <v>0</v>
      </c>
      <c r="AA32" s="531"/>
      <c r="AB32" s="531"/>
      <c r="AC32" s="531"/>
      <c r="AD32" s="531">
        <f>COUNTIF(Quiniela!$C$91,Fixture!M32)</f>
        <v>0</v>
      </c>
      <c r="AE32" s="531"/>
      <c r="AF32" s="531"/>
      <c r="AG32" s="531"/>
      <c r="AH32" s="531">
        <f>COUNTIF(Quiniela!$C$90,Fixture!M32)</f>
        <v>0</v>
      </c>
      <c r="AI32" s="531"/>
      <c r="AJ32" s="532"/>
      <c r="AK32" s="319"/>
      <c r="AL32" s="319"/>
      <c r="AM32" s="319"/>
      <c r="AN32" s="319"/>
      <c r="AO32" s="319"/>
      <c r="AP32" s="319"/>
      <c r="AQ32" s="319"/>
      <c r="AR32" s="319"/>
      <c r="AS32" s="319"/>
    </row>
    <row r="33" spans="1:45" x14ac:dyDescent="0.3">
      <c r="A33" s="319"/>
      <c r="K33" s="533"/>
      <c r="M33" s="529" t="str">
        <f>Equipos!B11</f>
        <v>Uruguay</v>
      </c>
      <c r="N33" s="530">
        <f t="shared" ca="1" si="1"/>
        <v>1</v>
      </c>
      <c r="O33" s="530"/>
      <c r="P33" s="530"/>
      <c r="Q33" s="530"/>
      <c r="R33" s="530">
        <f ca="1">COUNTIF(Quiniela!$C$50:$C$57,Fixture!M33)-V33-Z33-AD33-AH33</f>
        <v>0</v>
      </c>
      <c r="S33" s="531"/>
      <c r="T33" s="531"/>
      <c r="U33" s="531"/>
      <c r="V33" s="531">
        <f>COUNTIF(Quiniela!$C$66:$C$69,Fixture!M33)-Z33-AD33-AH33</f>
        <v>0</v>
      </c>
      <c r="W33" s="531"/>
      <c r="X33" s="531"/>
      <c r="Y33" s="531"/>
      <c r="Z33" s="531">
        <f>COUNTIF(Quiniela!$C$92,Fixture!M33)</f>
        <v>0</v>
      </c>
      <c r="AA33" s="531"/>
      <c r="AB33" s="531"/>
      <c r="AC33" s="531"/>
      <c r="AD33" s="531">
        <f>COUNTIF(Quiniela!$C$91,Fixture!M33)</f>
        <v>0</v>
      </c>
      <c r="AE33" s="531"/>
      <c r="AF33" s="531"/>
      <c r="AG33" s="531"/>
      <c r="AH33" s="531">
        <f>COUNTIF(Quiniela!$C$90,Fixture!M33)</f>
        <v>0</v>
      </c>
      <c r="AI33" s="531"/>
      <c r="AJ33" s="532"/>
      <c r="AK33" s="319"/>
      <c r="AL33" s="319"/>
      <c r="AM33" s="319"/>
      <c r="AN33" s="319"/>
      <c r="AO33" s="319"/>
      <c r="AP33" s="319"/>
      <c r="AQ33" s="319"/>
      <c r="AR33" s="319"/>
      <c r="AS33" s="319"/>
    </row>
    <row r="34" spans="1:45" x14ac:dyDescent="0.3">
      <c r="A34" s="319"/>
      <c r="K34" s="533"/>
      <c r="M34" s="529" t="str">
        <f>Equipos!B12</f>
        <v>Panamá</v>
      </c>
      <c r="N34" s="530">
        <f t="shared" ca="1" si="1"/>
        <v>1</v>
      </c>
      <c r="O34" s="530"/>
      <c r="P34" s="530"/>
      <c r="Q34" s="530"/>
      <c r="R34" s="530">
        <f ca="1">COUNTIF(Quiniela!$C$50:$C$57,Fixture!M34)-V34-Z34-AD34-AH34</f>
        <v>0</v>
      </c>
      <c r="S34" s="531"/>
      <c r="T34" s="531"/>
      <c r="U34" s="531"/>
      <c r="V34" s="531">
        <f>COUNTIF(Quiniela!$C$66:$C$69,Fixture!M34)-Z34-AD34-AH34</f>
        <v>0</v>
      </c>
      <c r="W34" s="531"/>
      <c r="X34" s="531"/>
      <c r="Y34" s="531"/>
      <c r="Z34" s="531">
        <f>COUNTIF(Quiniela!$C$92,Fixture!M34)</f>
        <v>0</v>
      </c>
      <c r="AA34" s="531"/>
      <c r="AB34" s="531"/>
      <c r="AC34" s="531"/>
      <c r="AD34" s="531">
        <f>COUNTIF(Quiniela!$C$91,Fixture!M34)</f>
        <v>0</v>
      </c>
      <c r="AE34" s="531"/>
      <c r="AF34" s="531"/>
      <c r="AG34" s="531"/>
      <c r="AH34" s="531">
        <f>COUNTIF(Quiniela!$C$90,Fixture!M34)</f>
        <v>0</v>
      </c>
      <c r="AI34" s="531"/>
      <c r="AJ34" s="532"/>
      <c r="AK34" s="319"/>
      <c r="AL34" s="319"/>
      <c r="AM34" s="319"/>
      <c r="AN34" s="319"/>
      <c r="AO34" s="319"/>
      <c r="AP34" s="319"/>
      <c r="AQ34" s="319"/>
      <c r="AR34" s="319"/>
      <c r="AS34" s="319"/>
    </row>
    <row r="35" spans="1:45" x14ac:dyDescent="0.3">
      <c r="K35" s="533"/>
      <c r="M35" s="529" t="str">
        <f>Equipos!B13</f>
        <v>Bolivia</v>
      </c>
      <c r="N35" s="530">
        <f t="shared" ca="1" si="1"/>
        <v>1</v>
      </c>
      <c r="O35" s="530"/>
      <c r="P35" s="530"/>
      <c r="Q35" s="530"/>
      <c r="R35" s="530">
        <f ca="1">COUNTIF(Quiniela!$C$50:$C$57,Fixture!M35)-V35-Z35-AD35-AH35</f>
        <v>0</v>
      </c>
      <c r="S35" s="531"/>
      <c r="T35" s="531"/>
      <c r="U35" s="531"/>
      <c r="V35" s="531">
        <f>COUNTIF(Quiniela!$C$66:$C$69,Fixture!M35)-Z35-AD35-AH35</f>
        <v>0</v>
      </c>
      <c r="W35" s="531"/>
      <c r="X35" s="531"/>
      <c r="Y35" s="531"/>
      <c r="Z35" s="531">
        <f>COUNTIF(Quiniela!$C$92,Fixture!M35)</f>
        <v>0</v>
      </c>
      <c r="AA35" s="531"/>
      <c r="AB35" s="531"/>
      <c r="AC35" s="531"/>
      <c r="AD35" s="531">
        <f>COUNTIF(Quiniela!$C$91,Fixture!M35)</f>
        <v>0</v>
      </c>
      <c r="AE35" s="531"/>
      <c r="AF35" s="531"/>
      <c r="AG35" s="531"/>
      <c r="AH35" s="531">
        <f>COUNTIF(Quiniela!$C$90,Fixture!M35)</f>
        <v>0</v>
      </c>
      <c r="AI35" s="531"/>
      <c r="AJ35" s="532"/>
    </row>
    <row r="36" spans="1:45" x14ac:dyDescent="0.3">
      <c r="K36" s="533"/>
      <c r="M36" s="529" t="str">
        <f>Equipos!B14</f>
        <v>Brasil</v>
      </c>
      <c r="N36" s="530">
        <f t="shared" ca="1" si="1"/>
        <v>1</v>
      </c>
      <c r="O36" s="530"/>
      <c r="P36" s="530"/>
      <c r="Q36" s="530"/>
      <c r="R36" s="530">
        <f ca="1">COUNTIF(Quiniela!$C$50:$C$57,Fixture!M36)-V36-Z36-AD36-AH36</f>
        <v>0</v>
      </c>
      <c r="S36" s="531"/>
      <c r="T36" s="531"/>
      <c r="U36" s="531"/>
      <c r="V36" s="531">
        <f>COUNTIF(Quiniela!$C$66:$C$69,Fixture!M36)-Z36-AD36-AH36</f>
        <v>0</v>
      </c>
      <c r="W36" s="531"/>
      <c r="X36" s="531"/>
      <c r="Y36" s="531"/>
      <c r="Z36" s="531">
        <f>COUNTIF(Quiniela!$C$92,Fixture!M36)</f>
        <v>0</v>
      </c>
      <c r="AA36" s="531"/>
      <c r="AB36" s="531"/>
      <c r="AC36" s="531"/>
      <c r="AD36" s="531">
        <f>COUNTIF(Quiniela!$C$91,Fixture!M36)</f>
        <v>0</v>
      </c>
      <c r="AE36" s="531"/>
      <c r="AF36" s="531"/>
      <c r="AG36" s="531"/>
      <c r="AH36" s="531">
        <f>COUNTIF(Quiniela!$C$90,Fixture!M36)</f>
        <v>0</v>
      </c>
      <c r="AI36" s="531"/>
      <c r="AJ36" s="532"/>
    </row>
    <row r="37" spans="1:45" x14ac:dyDescent="0.3">
      <c r="K37" s="533"/>
      <c r="M37" s="529" t="str">
        <f>Equipos!B15</f>
        <v>Colombia</v>
      </c>
      <c r="N37" s="530">
        <f t="shared" ca="1" si="1"/>
        <v>1</v>
      </c>
      <c r="O37" s="530"/>
      <c r="P37" s="530"/>
      <c r="Q37" s="530"/>
      <c r="R37" s="530">
        <f ca="1">COUNTIF(Quiniela!$C$50:$C$57,Fixture!M37)-V37-Z37-AD37-AH37</f>
        <v>0</v>
      </c>
      <c r="S37" s="531"/>
      <c r="T37" s="531"/>
      <c r="U37" s="531"/>
      <c r="V37" s="531">
        <f>COUNTIF(Quiniela!$C$66:$C$69,Fixture!M37)-Z37-AD37-AH37</f>
        <v>0</v>
      </c>
      <c r="W37" s="531"/>
      <c r="X37" s="531"/>
      <c r="Y37" s="531"/>
      <c r="Z37" s="531">
        <f>COUNTIF(Quiniela!$C$92,Fixture!M37)</f>
        <v>0</v>
      </c>
      <c r="AA37" s="531"/>
      <c r="AB37" s="531"/>
      <c r="AC37" s="531"/>
      <c r="AD37" s="531">
        <f>COUNTIF(Quiniela!$C$91,Fixture!M37)</f>
        <v>0</v>
      </c>
      <c r="AE37" s="531"/>
      <c r="AF37" s="531"/>
      <c r="AG37" s="531"/>
      <c r="AH37" s="531">
        <f>COUNTIF(Quiniela!$C$90,Fixture!M37)</f>
        <v>0</v>
      </c>
      <c r="AI37" s="531"/>
      <c r="AJ37" s="532"/>
    </row>
    <row r="38" spans="1:45" x14ac:dyDescent="0.3">
      <c r="K38" s="533"/>
      <c r="M38" s="529" t="str">
        <f>Equipos!B16</f>
        <v>Paraguay</v>
      </c>
      <c r="N38" s="530">
        <f t="shared" ca="1" si="1"/>
        <v>1</v>
      </c>
      <c r="O38" s="530"/>
      <c r="P38" s="530"/>
      <c r="Q38" s="530"/>
      <c r="R38" s="530">
        <f ca="1">COUNTIF(Quiniela!$C$50:$C$57,Fixture!M38)-V38-Z38-AD38-AH38</f>
        <v>0</v>
      </c>
      <c r="S38" s="531"/>
      <c r="T38" s="531"/>
      <c r="U38" s="531"/>
      <c r="V38" s="531">
        <f>COUNTIF(Quiniela!$C$66:$C$69,Fixture!M38)-Z38-AD38-AH38</f>
        <v>0</v>
      </c>
      <c r="W38" s="531"/>
      <c r="X38" s="531"/>
      <c r="Y38" s="531"/>
      <c r="Z38" s="531">
        <f>COUNTIF(Quiniela!$C$92,Fixture!M38)</f>
        <v>0</v>
      </c>
      <c r="AA38" s="531"/>
      <c r="AB38" s="531"/>
      <c r="AC38" s="531"/>
      <c r="AD38" s="531">
        <f>COUNTIF(Quiniela!$C$91,Fixture!M38)</f>
        <v>0</v>
      </c>
      <c r="AE38" s="531"/>
      <c r="AF38" s="531"/>
      <c r="AG38" s="531"/>
      <c r="AH38" s="531">
        <f>COUNTIF(Quiniela!$C$90,Fixture!M38)</f>
        <v>0</v>
      </c>
      <c r="AI38" s="531"/>
      <c r="AJ38" s="532"/>
    </row>
    <row r="39" spans="1:45" x14ac:dyDescent="0.3">
      <c r="K39" s="534"/>
      <c r="L39" s="535"/>
      <c r="M39" s="536" t="str">
        <f>Equipos!B17</f>
        <v>Costa Rica</v>
      </c>
      <c r="N39" s="537">
        <f t="shared" ca="1" si="1"/>
        <v>1</v>
      </c>
      <c r="O39" s="537"/>
      <c r="P39" s="537"/>
      <c r="Q39" s="537"/>
      <c r="R39" s="538">
        <f ca="1">COUNTIF(Quiniela!$C$50:$C$57,Fixture!M39)-V39-Z39-AD39-AH39</f>
        <v>0</v>
      </c>
      <c r="S39" s="539"/>
      <c r="T39" s="539"/>
      <c r="U39" s="539"/>
      <c r="V39" s="539">
        <f>COUNTIF(Quiniela!$C$66:$C$69,Fixture!M39)-Z39-AD39-AH39</f>
        <v>0</v>
      </c>
      <c r="W39" s="539"/>
      <c r="X39" s="539"/>
      <c r="Y39" s="539"/>
      <c r="Z39" s="539">
        <f>COUNTIF(Quiniela!$C$92,Fixture!M39)</f>
        <v>0</v>
      </c>
      <c r="AA39" s="539"/>
      <c r="AB39" s="539"/>
      <c r="AC39" s="539"/>
      <c r="AD39" s="539">
        <f>COUNTIF(Quiniela!$C$91,Fixture!M39)</f>
        <v>0</v>
      </c>
      <c r="AE39" s="539"/>
      <c r="AF39" s="539"/>
      <c r="AG39" s="539"/>
      <c r="AH39" s="539">
        <f>COUNTIF(Quiniela!$C$90,Fixture!M39)</f>
        <v>0</v>
      </c>
      <c r="AI39" s="539"/>
      <c r="AJ39" s="540"/>
    </row>
    <row r="40" spans="1:45" x14ac:dyDescent="0.3">
      <c r="V40" s="319"/>
      <c r="W40" s="319"/>
      <c r="X40" s="319"/>
      <c r="Y40" s="319"/>
      <c r="Z40" s="319"/>
      <c r="AA40" s="319"/>
      <c r="AB40" s="319"/>
      <c r="AC40" s="319"/>
      <c r="AD40" s="319"/>
      <c r="AE40" s="319"/>
      <c r="AF40" s="319"/>
    </row>
    <row r="41" spans="1:45" x14ac:dyDescent="0.3">
      <c r="V41" s="319"/>
      <c r="W41" s="319"/>
      <c r="X41" s="319"/>
      <c r="Y41" s="319"/>
      <c r="Z41" s="319"/>
      <c r="AA41" s="319"/>
      <c r="AB41" s="319"/>
      <c r="AC41" s="319"/>
      <c r="AD41" s="319"/>
      <c r="AE41" s="319"/>
      <c r="AF41" s="319"/>
    </row>
    <row r="42" spans="1:45" x14ac:dyDescent="0.3">
      <c r="V42" s="319"/>
      <c r="W42" s="319"/>
      <c r="X42" s="319"/>
      <c r="Y42" s="319"/>
      <c r="Z42" s="319"/>
      <c r="AA42" s="319"/>
      <c r="AB42" s="319"/>
      <c r="AC42" s="319"/>
      <c r="AD42" s="319"/>
      <c r="AE42" s="319"/>
      <c r="AF42" s="319"/>
    </row>
    <row r="43" spans="1:45" x14ac:dyDescent="0.3">
      <c r="V43" s="319"/>
      <c r="W43" s="319"/>
      <c r="X43" s="319"/>
      <c r="Y43" s="319"/>
      <c r="Z43" s="319"/>
      <c r="AA43" s="319"/>
      <c r="AB43" s="319"/>
      <c r="AC43" s="319"/>
      <c r="AD43" s="319"/>
      <c r="AE43" s="319"/>
      <c r="AF43" s="319"/>
    </row>
    <row r="44" spans="1:45" x14ac:dyDescent="0.3">
      <c r="V44" s="319"/>
      <c r="W44" s="319"/>
      <c r="X44" s="319"/>
      <c r="Y44" s="319"/>
      <c r="Z44" s="319"/>
      <c r="AA44" s="319"/>
      <c r="AB44" s="319"/>
      <c r="AC44" s="319"/>
      <c r="AD44" s="319"/>
      <c r="AE44" s="319"/>
      <c r="AF44" s="319"/>
    </row>
    <row r="45" spans="1:45" x14ac:dyDescent="0.3">
      <c r="V45" s="319"/>
      <c r="W45" s="319"/>
      <c r="X45" s="319"/>
      <c r="Y45" s="319"/>
      <c r="Z45" s="319"/>
      <c r="AA45" s="319"/>
      <c r="AB45" s="319"/>
      <c r="AC45" s="319"/>
      <c r="AD45" s="319"/>
      <c r="AE45" s="319"/>
      <c r="AF45" s="319"/>
    </row>
    <row r="46" spans="1:45" x14ac:dyDescent="0.3">
      <c r="V46" s="319"/>
      <c r="W46" s="319"/>
      <c r="X46" s="319"/>
      <c r="Y46" s="319"/>
      <c r="Z46" s="319"/>
      <c r="AA46" s="319"/>
      <c r="AB46" s="319"/>
      <c r="AC46" s="319"/>
      <c r="AD46" s="319"/>
      <c r="AE46" s="319"/>
      <c r="AF46" s="319"/>
    </row>
    <row r="47" spans="1:45" x14ac:dyDescent="0.3">
      <c r="V47" s="319"/>
      <c r="W47" s="319"/>
      <c r="X47" s="319"/>
      <c r="Y47" s="319"/>
      <c r="Z47" s="319"/>
      <c r="AA47" s="319"/>
      <c r="AB47" s="319"/>
      <c r="AC47" s="319"/>
      <c r="AD47" s="319"/>
      <c r="AE47" s="319"/>
      <c r="AF47" s="319"/>
    </row>
    <row r="48" spans="1:45" x14ac:dyDescent="0.3">
      <c r="V48" s="319"/>
      <c r="W48" s="319"/>
      <c r="X48" s="319"/>
      <c r="Y48" s="319"/>
      <c r="Z48" s="319"/>
      <c r="AA48" s="319"/>
      <c r="AB48" s="319"/>
      <c r="AC48" s="319"/>
      <c r="AD48" s="319"/>
      <c r="AE48" s="319"/>
      <c r="AF48" s="319"/>
    </row>
    <row r="49" spans="22:32" x14ac:dyDescent="0.3">
      <c r="V49" s="319"/>
      <c r="W49" s="319"/>
      <c r="X49" s="319"/>
      <c r="Y49" s="319"/>
      <c r="Z49" s="319"/>
      <c r="AA49" s="319"/>
      <c r="AB49" s="319"/>
      <c r="AC49" s="319"/>
      <c r="AD49" s="319"/>
      <c r="AE49" s="319"/>
      <c r="AF49" s="319"/>
    </row>
    <row r="50" spans="22:32" x14ac:dyDescent="0.3">
      <c r="V50" s="319"/>
      <c r="W50" s="319"/>
      <c r="X50" s="319"/>
      <c r="Y50" s="319"/>
      <c r="Z50" s="319"/>
      <c r="AA50" s="319"/>
      <c r="AB50" s="319"/>
      <c r="AC50" s="319"/>
      <c r="AD50" s="319"/>
      <c r="AE50" s="319"/>
      <c r="AF50" s="319"/>
    </row>
    <row r="51" spans="22:32" x14ac:dyDescent="0.3">
      <c r="V51" s="319"/>
      <c r="W51" s="319"/>
      <c r="X51" s="319"/>
      <c r="Y51" s="319"/>
      <c r="Z51" s="319"/>
      <c r="AA51" s="319"/>
      <c r="AB51" s="319"/>
      <c r="AC51" s="319"/>
      <c r="AD51" s="319"/>
      <c r="AE51" s="319"/>
      <c r="AF51" s="319"/>
    </row>
    <row r="52" spans="22:32" x14ac:dyDescent="0.3">
      <c r="V52" s="319"/>
      <c r="W52" s="319"/>
      <c r="X52" s="319"/>
      <c r="Y52" s="319"/>
      <c r="Z52" s="319"/>
      <c r="AA52" s="319"/>
      <c r="AB52" s="319"/>
      <c r="AC52" s="319"/>
      <c r="AD52" s="319"/>
      <c r="AE52" s="319"/>
      <c r="AF52" s="319"/>
    </row>
  </sheetData>
  <sheetProtection algorithmName="SHA-512" hashValue="G+iFINiJfl6Df6trHHwtASy6uxw77te6RiS0UPjtfS/mrYlJsTemviC/v4xKbStPHV2BR+Yyhb+HGgXodGKXcg==" saltValue="Sz/DkvFb7nYKc8qRjPSwZA==" spinCount="100000" sheet="1" scenarios="1" selectLockedCells="1" selectUnlockedCells="1"/>
  <conditionalFormatting sqref="N24:Q39">
    <cfRule type="expression" dxfId="6" priority="535">
      <formula>$N24=1</formula>
    </cfRule>
  </conditionalFormatting>
  <conditionalFormatting sqref="N24:U39">
    <cfRule type="expression" dxfId="5" priority="536">
      <formula>$R24=1</formula>
    </cfRule>
  </conditionalFormatting>
  <conditionalFormatting sqref="N24:Y39">
    <cfRule type="expression" dxfId="4" priority="537">
      <formula>$V24=1</formula>
    </cfRule>
  </conditionalFormatting>
  <conditionalFormatting sqref="N24:AC39">
    <cfRule type="expression" dxfId="3" priority="538">
      <formula>$Z24=1</formula>
    </cfRule>
  </conditionalFormatting>
  <conditionalFormatting sqref="N24:AG39">
    <cfRule type="expression" dxfId="2" priority="539" stopIfTrue="1">
      <formula>$AD24=1</formula>
    </cfRule>
  </conditionalFormatting>
  <conditionalFormatting sqref="N24:AJ39">
    <cfRule type="expression" dxfId="1" priority="540">
      <formula>$AH24=1</formula>
    </cfRule>
  </conditionalFormatting>
  <pageMargins left="0.7" right="0.7" top="0.75" bottom="0.75" header="0.3" footer="0.3"/>
  <pageSetup paperSize="9" scale="62" orientation="landscape"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28"/>
  <sheetViews>
    <sheetView showGridLines="0" showRowColHeaders="0" topLeftCell="CB995" zoomScaleNormal="100" zoomScalePageLayoutView="75" workbookViewId="0">
      <selection activeCell="BC928" sqref="BC928"/>
    </sheetView>
  </sheetViews>
  <sheetFormatPr defaultColWidth="20.44140625" defaultRowHeight="15" customHeight="1" x14ac:dyDescent="0.3"/>
  <cols>
    <col min="1" max="1" width="6.77734375" style="268" bestFit="1" customWidth="1"/>
    <col min="2" max="2" width="16.77734375" style="268" customWidth="1"/>
    <col min="3" max="3" width="11.44140625" style="268" customWidth="1"/>
    <col min="4" max="4" width="8.77734375" style="268" bestFit="1" customWidth="1"/>
    <col min="5" max="5" width="11.33203125" style="268" customWidth="1"/>
    <col min="6" max="6" width="15.33203125" style="268" customWidth="1"/>
    <col min="7" max="7" width="4.109375" style="268" bestFit="1" customWidth="1"/>
    <col min="8" max="8" width="20.44140625" style="268"/>
    <col min="9" max="9" width="13" style="268" customWidth="1"/>
    <col min="10" max="10" width="12" style="268" customWidth="1"/>
    <col min="11" max="13" width="20.44140625" style="268"/>
    <col min="14" max="16384" width="20.44140625" style="585"/>
  </cols>
  <sheetData>
    <row r="1" spans="1:18 8826:8826" ht="15" customHeight="1" x14ac:dyDescent="0.3">
      <c r="A1" s="293" t="s">
        <v>63</v>
      </c>
      <c r="B1" s="293" t="s">
        <v>64</v>
      </c>
      <c r="C1" s="293" t="s">
        <v>107</v>
      </c>
      <c r="D1" s="293" t="s">
        <v>15</v>
      </c>
      <c r="F1" s="268" t="s">
        <v>67</v>
      </c>
      <c r="H1" s="293"/>
      <c r="I1" s="293"/>
      <c r="K1" s="268" t="s">
        <v>130</v>
      </c>
    </row>
    <row r="2" spans="1:18 8826:8826" ht="15" customHeight="1" x14ac:dyDescent="0.3">
      <c r="A2" s="268">
        <v>1</v>
      </c>
      <c r="B2" s="268" t="str">
        <f>VLOOKUP(Tabla3[[#This Row],[OK]],$G$2:$H$25,2,0)</f>
        <v>Argentina</v>
      </c>
      <c r="C2" s="268" t="s">
        <v>0</v>
      </c>
      <c r="D2" s="268">
        <v>1</v>
      </c>
      <c r="F2" s="268" t="s">
        <v>0</v>
      </c>
      <c r="G2" s="268">
        <v>1</v>
      </c>
      <c r="H2" s="268" t="str">
        <f>VLOOKUP(G2,Idiomas!$C$139:$D$154,2,0)</f>
        <v>Argentina</v>
      </c>
      <c r="I2" s="268" t="str">
        <f>VLOOKUP(H2,$K$2:$M$17,2,0)</f>
        <v>🇦🇷</v>
      </c>
      <c r="K2" s="268" t="str">
        <f>Idiomas!D139</f>
        <v>Argentina</v>
      </c>
      <c r="L2" s="268" t="s">
        <v>452</v>
      </c>
      <c r="MAL2" s="585" t="s">
        <v>19</v>
      </c>
    </row>
    <row r="3" spans="1:18 8826:8826" ht="15" customHeight="1" x14ac:dyDescent="0.3">
      <c r="A3" s="268">
        <v>2</v>
      </c>
      <c r="B3" s="268" t="str">
        <f>VLOOKUP(Tabla3[[#This Row],[OK]],$G$2:$H$25,2,0)</f>
        <v>Perú</v>
      </c>
      <c r="C3" s="268" t="s">
        <v>0</v>
      </c>
      <c r="D3" s="268">
        <v>2</v>
      </c>
      <c r="F3" s="268" t="s">
        <v>1</v>
      </c>
      <c r="G3" s="268">
        <v>2</v>
      </c>
      <c r="H3" s="268" t="str">
        <f>VLOOKUP(G3,Idiomas!$C$139:$D$154,2,0)</f>
        <v>Perú</v>
      </c>
      <c r="I3" s="268" t="str">
        <f t="shared" ref="I3:I17" si="0">VLOOKUP(H3,$K$2:$M$17,2,0)</f>
        <v>🇵🇪</v>
      </c>
      <c r="K3" s="268" t="str">
        <f>Idiomas!D140</f>
        <v>Bolivia</v>
      </c>
      <c r="L3" s="268" t="s">
        <v>453</v>
      </c>
    </row>
    <row r="4" spans="1:18 8826:8826" ht="15" customHeight="1" x14ac:dyDescent="0.3">
      <c r="A4" s="268">
        <v>3</v>
      </c>
      <c r="B4" s="268" t="str">
        <f>VLOOKUP(Tabla3[[#This Row],[OK]],$G$2:$H$25,2,0)</f>
        <v>Chile</v>
      </c>
      <c r="C4" s="268" t="s">
        <v>0</v>
      </c>
      <c r="D4" s="268">
        <v>3</v>
      </c>
      <c r="F4" s="268" t="s">
        <v>2</v>
      </c>
      <c r="G4" s="268">
        <v>3</v>
      </c>
      <c r="H4" s="268" t="str">
        <f>VLOOKUP(G4,Idiomas!$C$139:$D$154,2,0)</f>
        <v>Chile</v>
      </c>
      <c r="I4" s="268" t="str">
        <f t="shared" si="0"/>
        <v>🇨🇱</v>
      </c>
      <c r="K4" s="268" t="str">
        <f>Idiomas!D141</f>
        <v>Brasil</v>
      </c>
      <c r="L4" s="268" t="s">
        <v>454</v>
      </c>
    </row>
    <row r="5" spans="1:18 8826:8826" ht="15" customHeight="1" x14ac:dyDescent="0.3">
      <c r="A5" s="268">
        <v>4</v>
      </c>
      <c r="B5" s="268" t="str">
        <f>VLOOKUP(Tabla3[[#This Row],[OK]],$G$2:$H$25,2,0)</f>
        <v>Canadá</v>
      </c>
      <c r="C5" s="268" t="s">
        <v>0</v>
      </c>
      <c r="D5" s="268">
        <v>4</v>
      </c>
      <c r="F5" s="268" t="s">
        <v>110</v>
      </c>
      <c r="G5" s="268">
        <v>4</v>
      </c>
      <c r="H5" s="268" t="str">
        <f>VLOOKUP(G5,Idiomas!$C$139:$D$154,2,0)</f>
        <v>Canadá</v>
      </c>
      <c r="I5" s="268" t="str">
        <f t="shared" si="0"/>
        <v>🇨🇦</v>
      </c>
      <c r="K5" s="268" t="str">
        <f>Idiomas!D142</f>
        <v>Chile</v>
      </c>
      <c r="L5" s="268" t="s">
        <v>455</v>
      </c>
    </row>
    <row r="6" spans="1:18 8826:8826" ht="15" customHeight="1" x14ac:dyDescent="0.3">
      <c r="A6" s="268">
        <v>5</v>
      </c>
      <c r="B6" s="268" t="str">
        <f>VLOOKUP(Tabla3[[#This Row],[OK]],$G$2:$H$25,2,0)</f>
        <v>México</v>
      </c>
      <c r="C6" s="268" t="s">
        <v>1</v>
      </c>
      <c r="D6" s="268">
        <v>5</v>
      </c>
      <c r="F6" s="268" t="s">
        <v>3</v>
      </c>
      <c r="G6" s="268">
        <v>5</v>
      </c>
      <c r="H6" s="268" t="str">
        <f>VLOOKUP(G6,Idiomas!$C$139:$D$154,2,0)</f>
        <v>México</v>
      </c>
      <c r="I6" s="268" t="str">
        <f t="shared" si="0"/>
        <v>🇲🇽</v>
      </c>
      <c r="K6" s="268" t="str">
        <f>Idiomas!D143</f>
        <v>Colombia</v>
      </c>
      <c r="L6" s="268" t="s">
        <v>456</v>
      </c>
    </row>
    <row r="7" spans="1:18 8826:8826" ht="15" customHeight="1" x14ac:dyDescent="0.3">
      <c r="A7" s="268">
        <v>6</v>
      </c>
      <c r="B7" s="268" t="str">
        <f>VLOOKUP(Tabla3[[#This Row],[OK]],$G$2:$H$25,2,0)</f>
        <v>Ecuador</v>
      </c>
      <c r="C7" s="268" t="s">
        <v>1</v>
      </c>
      <c r="D7" s="268">
        <v>6</v>
      </c>
      <c r="F7" s="268" t="s">
        <v>4</v>
      </c>
      <c r="G7" s="268">
        <v>6</v>
      </c>
      <c r="H7" s="268" t="str">
        <f>VLOOKUP(G7,Idiomas!$C$139:$D$154,2,0)</f>
        <v>Ecuador</v>
      </c>
      <c r="I7" s="268" t="str">
        <f t="shared" si="0"/>
        <v>🇪🇨</v>
      </c>
      <c r="K7" s="268" t="str">
        <f>Idiomas!D144</f>
        <v>Ecuador</v>
      </c>
      <c r="L7" s="268" t="s">
        <v>457</v>
      </c>
      <c r="M7" s="597"/>
    </row>
    <row r="8" spans="1:18 8826:8826" ht="15" customHeight="1" x14ac:dyDescent="0.3">
      <c r="A8" s="268">
        <v>7</v>
      </c>
      <c r="B8" s="268" t="str">
        <f>VLOOKUP(Tabla3[[#This Row],[OK]],$G$2:$H$25,2,0)</f>
        <v>Venezuela</v>
      </c>
      <c r="C8" s="268" t="s">
        <v>1</v>
      </c>
      <c r="D8" s="268">
        <v>7</v>
      </c>
      <c r="G8" s="268">
        <v>7</v>
      </c>
      <c r="H8" s="268" t="str">
        <f>VLOOKUP(G8,Idiomas!$C$139:$D$154,2,0)</f>
        <v>Venezuela</v>
      </c>
      <c r="I8" s="268" t="str">
        <f t="shared" si="0"/>
        <v>🇻🇪</v>
      </c>
      <c r="K8" s="268" t="str">
        <f>Idiomas!D145</f>
        <v>Paraguay</v>
      </c>
      <c r="L8" s="268" t="s">
        <v>458</v>
      </c>
    </row>
    <row r="9" spans="1:18 8826:8826" ht="15" customHeight="1" x14ac:dyDescent="0.3">
      <c r="A9" s="268">
        <v>8</v>
      </c>
      <c r="B9" s="268" t="str">
        <f>VLOOKUP(Tabla3[[#This Row],[OK]],$G$2:$H$25,2,0)</f>
        <v>Jamaica</v>
      </c>
      <c r="C9" s="268" t="s">
        <v>1</v>
      </c>
      <c r="D9" s="268">
        <v>8</v>
      </c>
      <c r="G9" s="268">
        <v>8</v>
      </c>
      <c r="H9" s="268" t="str">
        <f>VLOOKUP(G9,Idiomas!$C$139:$D$154,2,0)</f>
        <v>Jamaica</v>
      </c>
      <c r="I9" s="268" t="str">
        <f t="shared" si="0"/>
        <v>🇯🇲</v>
      </c>
      <c r="K9" s="268" t="str">
        <f>Idiomas!D146</f>
        <v>Perú</v>
      </c>
      <c r="L9" s="268" t="s">
        <v>459</v>
      </c>
    </row>
    <row r="10" spans="1:18 8826:8826" ht="15" customHeight="1" x14ac:dyDescent="0.3">
      <c r="A10" s="268">
        <v>9</v>
      </c>
      <c r="B10" s="268" t="str">
        <f>VLOOKUP(Tabla3[[#This Row],[OK]],$G$2:$H$25,2,0)</f>
        <v>Estados Unidos</v>
      </c>
      <c r="C10" s="268" t="s">
        <v>2</v>
      </c>
      <c r="D10" s="268">
        <v>9</v>
      </c>
      <c r="G10" s="268">
        <v>9</v>
      </c>
      <c r="H10" s="268" t="str">
        <f>VLOOKUP(G10,Idiomas!$C$139:$D$154,2,0)</f>
        <v>Estados Unidos</v>
      </c>
      <c r="I10" s="268" t="str">
        <f t="shared" si="0"/>
        <v>🇺🇸</v>
      </c>
      <c r="K10" s="268" t="str">
        <f>Idiomas!D147</f>
        <v>Uruguay</v>
      </c>
      <c r="L10" s="268" t="s">
        <v>460</v>
      </c>
    </row>
    <row r="11" spans="1:18 8826:8826" ht="15" customHeight="1" x14ac:dyDescent="0.3">
      <c r="A11" s="268">
        <v>10</v>
      </c>
      <c r="B11" s="268" t="str">
        <f>VLOOKUP(Tabla3[[#This Row],[OK]],$G$2:$H$25,2,0)</f>
        <v>Uruguay</v>
      </c>
      <c r="C11" s="268" t="s">
        <v>2</v>
      </c>
      <c r="D11" s="268">
        <v>10</v>
      </c>
      <c r="G11" s="268">
        <v>10</v>
      </c>
      <c r="H11" s="268" t="str">
        <f>VLOOKUP(G11,Idiomas!$C$139:$D$154,2,0)</f>
        <v>Uruguay</v>
      </c>
      <c r="I11" s="268" t="str">
        <f t="shared" si="0"/>
        <v>🇺🇾</v>
      </c>
      <c r="K11" s="268" t="str">
        <f>Idiomas!D148</f>
        <v>Venezuela</v>
      </c>
      <c r="L11" s="268" t="s">
        <v>461</v>
      </c>
    </row>
    <row r="12" spans="1:18 8826:8826" ht="15" customHeight="1" x14ac:dyDescent="0.3">
      <c r="A12" s="268">
        <v>11</v>
      </c>
      <c r="B12" s="268" t="str">
        <f>VLOOKUP(Tabla3[[#This Row],[OK]],$G$2:$H$25,2,0)</f>
        <v>Panamá</v>
      </c>
      <c r="C12" s="268" t="s">
        <v>2</v>
      </c>
      <c r="D12" s="268">
        <v>11</v>
      </c>
      <c r="G12" s="268">
        <v>11</v>
      </c>
      <c r="H12" s="268" t="str">
        <f>VLOOKUP(G12,Idiomas!$C$139:$D$154,2,0)</f>
        <v>Panamá</v>
      </c>
      <c r="I12" s="268" t="str">
        <f t="shared" si="0"/>
        <v>🇵🇦</v>
      </c>
      <c r="K12" s="268" t="str">
        <f>Idiomas!D149</f>
        <v>Estados Unidos</v>
      </c>
      <c r="L12" s="268" t="s">
        <v>510</v>
      </c>
    </row>
    <row r="13" spans="1:18 8826:8826" ht="15" customHeight="1" x14ac:dyDescent="0.3">
      <c r="A13" s="268">
        <v>12</v>
      </c>
      <c r="B13" s="268" t="str">
        <f>VLOOKUP(Tabla3[[#This Row],[OK]],$G$2:$H$25,2,0)</f>
        <v>Bolivia</v>
      </c>
      <c r="C13" s="268" t="s">
        <v>2</v>
      </c>
      <c r="D13" s="268">
        <v>12</v>
      </c>
      <c r="G13" s="268">
        <v>12</v>
      </c>
      <c r="H13" s="268" t="str">
        <f>VLOOKUP(G13,Idiomas!$C$139:$D$154,2,0)</f>
        <v>Bolivia</v>
      </c>
      <c r="I13" s="268" t="str">
        <f t="shared" si="0"/>
        <v>🇧🇴</v>
      </c>
      <c r="K13" s="268" t="str">
        <f>Idiomas!D150</f>
        <v>Canadá</v>
      </c>
      <c r="L13" s="268" t="s">
        <v>511</v>
      </c>
    </row>
    <row r="14" spans="1:18 8826:8826" ht="15" customHeight="1" x14ac:dyDescent="0.3">
      <c r="A14" s="268">
        <v>13</v>
      </c>
      <c r="B14" s="268" t="str">
        <f>VLOOKUP(Tabla3[[#This Row],[OK]],$G$2:$H$25,2,0)</f>
        <v>Brasil</v>
      </c>
      <c r="C14" s="268" t="s">
        <v>110</v>
      </c>
      <c r="D14" s="268">
        <v>13</v>
      </c>
      <c r="G14" s="268">
        <v>13</v>
      </c>
      <c r="H14" s="268" t="str">
        <f>VLOOKUP(G14,Idiomas!$C$139:$D$154,2,0)</f>
        <v>Brasil</v>
      </c>
      <c r="I14" s="268" t="str">
        <f t="shared" si="0"/>
        <v>🇧🇷</v>
      </c>
      <c r="K14" s="268" t="str">
        <f>Idiomas!D151</f>
        <v>México</v>
      </c>
      <c r="L14" s="268" t="s">
        <v>512</v>
      </c>
    </row>
    <row r="15" spans="1:18 8826:8826" ht="15" customHeight="1" x14ac:dyDescent="0.3">
      <c r="A15" s="268">
        <v>14</v>
      </c>
      <c r="B15" s="268" t="str">
        <f>VLOOKUP(Tabla3[[#This Row],[OK]],$G$2:$H$25,2,0)</f>
        <v>Colombia</v>
      </c>
      <c r="C15" s="268" t="s">
        <v>110</v>
      </c>
      <c r="D15" s="268">
        <v>14</v>
      </c>
      <c r="G15" s="268">
        <v>14</v>
      </c>
      <c r="H15" s="268" t="str">
        <f>VLOOKUP(G15,Idiomas!$C$139:$D$154,2,0)</f>
        <v>Colombia</v>
      </c>
      <c r="I15" s="268" t="str">
        <f t="shared" si="0"/>
        <v>🇨🇴</v>
      </c>
      <c r="K15" s="268" t="str">
        <f>Idiomas!D152</f>
        <v>Costa Rica</v>
      </c>
      <c r="L15" s="268" t="s">
        <v>513</v>
      </c>
      <c r="N15" s="598"/>
      <c r="O15" s="598"/>
      <c r="P15" s="598"/>
      <c r="Q15" s="598"/>
      <c r="R15" s="598"/>
    </row>
    <row r="16" spans="1:18 8826:8826" ht="15" customHeight="1" x14ac:dyDescent="0.3">
      <c r="A16" s="268">
        <v>15</v>
      </c>
      <c r="B16" s="268" t="str">
        <f>VLOOKUP(Tabla3[[#This Row],[OK]],$G$2:$H$25,2,0)</f>
        <v>Paraguay</v>
      </c>
      <c r="C16" s="268" t="s">
        <v>110</v>
      </c>
      <c r="D16" s="268">
        <v>15</v>
      </c>
      <c r="G16" s="268">
        <v>15</v>
      </c>
      <c r="H16" s="268" t="str">
        <f>VLOOKUP(G16,Idiomas!$C$139:$D$154,2,0)</f>
        <v>Paraguay</v>
      </c>
      <c r="I16" s="268" t="str">
        <f t="shared" si="0"/>
        <v>🇵🇾</v>
      </c>
      <c r="K16" s="268" t="str">
        <f>Idiomas!D153</f>
        <v>Jamaica</v>
      </c>
      <c r="L16" s="268" t="s">
        <v>590</v>
      </c>
    </row>
    <row r="17" spans="1:331 8826:8826" ht="15" customHeight="1" x14ac:dyDescent="0.3">
      <c r="A17" s="268">
        <v>16</v>
      </c>
      <c r="B17" s="268" t="str">
        <f>VLOOKUP(Tabla3[[#This Row],[OK]],$G$2:$H$25,2,0)</f>
        <v>Costa Rica</v>
      </c>
      <c r="C17" s="268" t="s">
        <v>110</v>
      </c>
      <c r="D17" s="268">
        <v>16</v>
      </c>
      <c r="G17" s="268">
        <v>16</v>
      </c>
      <c r="H17" s="268" t="str">
        <f>VLOOKUP(G17,Idiomas!$C$139:$D$154,2,0)</f>
        <v>Costa Rica</v>
      </c>
      <c r="I17" s="268" t="str">
        <f t="shared" si="0"/>
        <v>🇨🇷</v>
      </c>
      <c r="K17" s="268" t="str">
        <f>Idiomas!D154</f>
        <v>Panamá</v>
      </c>
      <c r="L17" s="268" t="s">
        <v>591</v>
      </c>
    </row>
    <row r="28" spans="1:331 8826:8826" ht="15" customHeight="1" x14ac:dyDescent="0.3">
      <c r="LS28" s="585" t="s">
        <v>19</v>
      </c>
      <c r="MAL28" s="585" t="s">
        <v>19</v>
      </c>
    </row>
  </sheetData>
  <sheetProtection algorithmName="SHA-512" hashValue="I9ABMhFhFrG0Pe7CMOHHj/ZkaG0ET7Dms66uik41kojws0kU8jFpTDHVHgWexAqSzSlLpZc/TaRQHqi5MS922g==" saltValue="M5GGaJjLqACPMtY2AykDfg==" spinCount="100000" sheet="1" objects="1" scenarios="1" selectLockedCells="1" selectUnlockedCells="1"/>
  <phoneticPr fontId="2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74"/>
  <sheetViews>
    <sheetView showGridLines="0" showRowColHeaders="0" topLeftCell="FH1194" workbookViewId="0">
      <selection activeCell="FH1194" sqref="FH1194"/>
    </sheetView>
  </sheetViews>
  <sheetFormatPr defaultColWidth="10.77734375" defaultRowHeight="14.4" x14ac:dyDescent="0.3"/>
  <cols>
    <col min="1" max="1" width="13.109375" style="268" bestFit="1" customWidth="1"/>
    <col min="2" max="2" width="10.77734375" style="268"/>
    <col min="3" max="3" width="12.44140625" style="268" customWidth="1"/>
    <col min="4" max="5" width="10.77734375" style="268"/>
    <col min="6" max="6" width="12.33203125" style="268" bestFit="1" customWidth="1"/>
    <col min="7" max="15" width="10.77734375" style="268"/>
    <col min="16" max="16" width="4.77734375" style="268" bestFit="1" customWidth="1"/>
    <col min="17" max="17" width="17.77734375" style="268" bestFit="1" customWidth="1"/>
    <col min="18" max="18" width="11.109375" style="268" bestFit="1" customWidth="1"/>
    <col min="19" max="19" width="15.44140625" style="268" customWidth="1"/>
    <col min="20" max="20" width="10.33203125" style="268" bestFit="1" customWidth="1"/>
    <col min="21" max="21" width="8.44140625" style="268" bestFit="1" customWidth="1"/>
    <col min="22" max="22" width="10.33203125" style="268" customWidth="1"/>
    <col min="23" max="23" width="3.33203125" style="268" bestFit="1" customWidth="1"/>
    <col min="24" max="16384" width="10.77734375" style="268"/>
  </cols>
  <sheetData>
    <row r="1" spans="1:35" ht="15" thickBot="1" x14ac:dyDescent="0.35">
      <c r="K1" s="542" t="s">
        <v>382</v>
      </c>
      <c r="L1" s="542" t="s">
        <v>373</v>
      </c>
      <c r="M1" s="542" t="s">
        <v>161</v>
      </c>
      <c r="N1" s="542" t="s">
        <v>378</v>
      </c>
    </row>
    <row r="2" spans="1:35" ht="15" thickBot="1" x14ac:dyDescent="0.35">
      <c r="K2" s="542" t="s">
        <v>372</v>
      </c>
      <c r="L2" s="542" t="str">
        <f>Idiomas!D156</f>
        <v>Estados Unidos</v>
      </c>
      <c r="M2" s="542">
        <f>INDEX($R$3:$R$54,MATCH($L$2,$Q$3:$Q$54,0))</f>
        <v>-4</v>
      </c>
      <c r="N2" s="543">
        <f>INDEX($S$3:$S$54,MATCH($L$2,$Q$3:$Q$54,0))</f>
        <v>0.16666666666666666</v>
      </c>
      <c r="P2" s="293" t="s">
        <v>374</v>
      </c>
      <c r="Q2" s="293" t="s">
        <v>373</v>
      </c>
      <c r="R2" s="293" t="s">
        <v>358</v>
      </c>
      <c r="S2" s="293" t="s">
        <v>377</v>
      </c>
      <c r="T2" s="293" t="s">
        <v>359</v>
      </c>
      <c r="U2" s="293" t="s">
        <v>622</v>
      </c>
      <c r="V2" s="293" t="s">
        <v>376</v>
      </c>
      <c r="W2" s="544" t="s">
        <v>375</v>
      </c>
      <c r="Z2" s="293" t="s">
        <v>374</v>
      </c>
      <c r="AA2" s="293" t="s">
        <v>357</v>
      </c>
      <c r="AB2" s="293" t="s">
        <v>358</v>
      </c>
      <c r="AC2" s="293" t="s">
        <v>377</v>
      </c>
      <c r="AD2" s="293" t="s">
        <v>359</v>
      </c>
      <c r="AE2" s="293" t="s">
        <v>622</v>
      </c>
      <c r="AF2" s="293" t="s">
        <v>376</v>
      </c>
      <c r="AG2" s="544" t="s">
        <v>375</v>
      </c>
      <c r="AH2" s="293" t="s">
        <v>360</v>
      </c>
      <c r="AI2" s="293" t="s">
        <v>621</v>
      </c>
    </row>
    <row r="3" spans="1:35" x14ac:dyDescent="0.3">
      <c r="A3" s="268" t="s">
        <v>72</v>
      </c>
      <c r="C3" s="268">
        <f>IFERROR(INDEX($P$3:$P$54,MATCH('COPA AMERICA'!$G$1,Horarios!$Q$3:$Q$54,0)),1)</f>
        <v>31</v>
      </c>
      <c r="K3" s="268" t="s">
        <v>160</v>
      </c>
      <c r="P3" s="268">
        <v>1</v>
      </c>
      <c r="Q3" s="268" t="str">
        <f t="shared" ref="Q3:Q18" si="0">INDEX($AA$3:$AA$18,MATCH(P3,$AI$3:$AI$18,0))</f>
        <v>Argentina</v>
      </c>
      <c r="R3" s="268">
        <f t="shared" ref="R3:R34" si="1">INDEX(AB$3:AB$54,MATCH($Q3,$AA$3:$AA$54,0))</f>
        <v>-3</v>
      </c>
      <c r="S3" s="545">
        <f t="shared" ref="S3:S34" si="2">INDEX(AC$3:AC$54,MATCH($Q3,$AA$3:$AA$54,0))</f>
        <v>0.125</v>
      </c>
      <c r="T3" s="268">
        <f t="shared" ref="T3:T34" si="3">INDEX(AD$3:AD$54,MATCH($Q3,$AA$3:$AA$54,0))</f>
        <v>0</v>
      </c>
      <c r="U3" s="268">
        <f t="shared" ref="U3:U34" si="4">INDEX(AE$3:AE$54,MATCH($Q3,$AA$3:$AA$54,0))</f>
        <v>1</v>
      </c>
      <c r="V3" s="545">
        <f t="shared" ref="V3:V34" si="5">INDEX(AF$3:AF$54,MATCH($Q3,$AA$3:$AA$54,0))</f>
        <v>4.1666666666666664E-2</v>
      </c>
      <c r="W3" s="268">
        <f t="shared" ref="W3:W34" si="6">INDEX(AG$3:AG$54,MATCH($Q3,$AA$3:$AA$54,0))</f>
        <v>1</v>
      </c>
      <c r="Z3" s="268">
        <v>1</v>
      </c>
      <c r="AA3" s="268" t="str">
        <f>Idiomas!D139</f>
        <v>Argentina</v>
      </c>
      <c r="AB3" s="268">
        <v>-3</v>
      </c>
      <c r="AC3" s="545">
        <v>0.125</v>
      </c>
      <c r="AD3" s="268">
        <f>IF(AA3=$L$2,1,0)</f>
        <v>0</v>
      </c>
      <c r="AE3" s="268">
        <f>AB3-$M$2</f>
        <v>1</v>
      </c>
      <c r="AF3" s="545">
        <f>ABS(AE3/24)</f>
        <v>4.1666666666666664E-2</v>
      </c>
      <c r="AG3" s="268">
        <f>IF(AB3&gt;$M$2,1,IF(AB3=$M$2,0,-1))</f>
        <v>1</v>
      </c>
      <c r="AH3" s="268">
        <v>-3</v>
      </c>
      <c r="AI3" s="268">
        <f>COUNTIF($AA$3:$AA$18,"&lt;="&amp;AA3)</f>
        <v>1</v>
      </c>
    </row>
    <row r="4" spans="1:35" x14ac:dyDescent="0.3">
      <c r="A4" s="546">
        <v>45463.833333333336</v>
      </c>
      <c r="C4" s="547" cm="1">
        <f t="array" ref="C4">A4+INDEX($V$3:V$54,$C$3)*INDEX($W$3:$W$54,$C$3)</f>
        <v>45464.041666666672</v>
      </c>
      <c r="E4" s="268">
        <v>-4</v>
      </c>
      <c r="F4" s="547"/>
      <c r="P4" s="268">
        <v>2</v>
      </c>
      <c r="Q4" s="268" t="str">
        <f t="shared" si="0"/>
        <v>Bolivia</v>
      </c>
      <c r="R4" s="268">
        <f t="shared" si="1"/>
        <v>-4</v>
      </c>
      <c r="S4" s="545">
        <f t="shared" si="2"/>
        <v>0.16666666666666666</v>
      </c>
      <c r="T4" s="268">
        <f t="shared" si="3"/>
        <v>0</v>
      </c>
      <c r="U4" s="268">
        <f t="shared" si="4"/>
        <v>0</v>
      </c>
      <c r="V4" s="545">
        <f t="shared" si="5"/>
        <v>0</v>
      </c>
      <c r="W4" s="268">
        <f t="shared" si="6"/>
        <v>0</v>
      </c>
      <c r="Z4" s="268">
        <v>2</v>
      </c>
      <c r="AA4" s="268" t="str">
        <f>Idiomas!D140</f>
        <v>Bolivia</v>
      </c>
      <c r="AB4" s="268">
        <v>-4</v>
      </c>
      <c r="AC4" s="545">
        <v>0.16666666666666666</v>
      </c>
      <c r="AD4" s="268">
        <f t="shared" ref="AD4:AD54" si="7">IF(AA4=$L$2,1,0)</f>
        <v>0</v>
      </c>
      <c r="AE4" s="268">
        <f t="shared" ref="AE4:AE54" si="8">AB4-$M$2</f>
        <v>0</v>
      </c>
      <c r="AF4" s="545">
        <f t="shared" ref="AF4:AF54" si="9">ABS(AE4/24)</f>
        <v>0</v>
      </c>
      <c r="AG4" s="268">
        <f t="shared" ref="AG4:AG18" si="10">IF(AB4&gt;$M$2,1,IF(AB4=$M$2,0,-1))</f>
        <v>0</v>
      </c>
      <c r="AH4" s="268">
        <v>-4</v>
      </c>
      <c r="AI4" s="268">
        <f t="shared" ref="AI4:AI18" si="11">COUNTIF($AA$3:$AA$18,"&lt;="&amp;AA4)</f>
        <v>2</v>
      </c>
    </row>
    <row r="5" spans="1:35" x14ac:dyDescent="0.3">
      <c r="A5" s="546">
        <v>45464.833333333336</v>
      </c>
      <c r="C5" s="547" cm="1">
        <f t="array" ref="C5">A5+INDEX($V$3:V$54,$C$3)*INDEX($W$3:$W$54,$C$3)</f>
        <v>45465.041666666672</v>
      </c>
      <c r="E5" s="268">
        <v>-5</v>
      </c>
      <c r="F5" s="547"/>
      <c r="P5" s="268">
        <v>3</v>
      </c>
      <c r="Q5" s="268" t="str">
        <f t="shared" si="0"/>
        <v>Brasil</v>
      </c>
      <c r="R5" s="268">
        <f t="shared" si="1"/>
        <v>-3</v>
      </c>
      <c r="S5" s="545">
        <f t="shared" si="2"/>
        <v>0.125</v>
      </c>
      <c r="T5" s="268">
        <f t="shared" si="3"/>
        <v>0</v>
      </c>
      <c r="U5" s="268">
        <f t="shared" si="4"/>
        <v>1</v>
      </c>
      <c r="V5" s="545">
        <f t="shared" si="5"/>
        <v>4.1666666666666664E-2</v>
      </c>
      <c r="W5" s="268">
        <f t="shared" si="6"/>
        <v>1</v>
      </c>
      <c r="Z5" s="268">
        <v>3</v>
      </c>
      <c r="AA5" s="268" t="str">
        <f>Idiomas!D141</f>
        <v>Brasil</v>
      </c>
      <c r="AB5" s="268">
        <v>-3</v>
      </c>
      <c r="AC5" s="545">
        <v>0.125</v>
      </c>
      <c r="AD5" s="268">
        <f t="shared" si="7"/>
        <v>0</v>
      </c>
      <c r="AE5" s="268">
        <f t="shared" si="8"/>
        <v>1</v>
      </c>
      <c r="AF5" s="545">
        <f t="shared" si="9"/>
        <v>4.1666666666666664E-2</v>
      </c>
      <c r="AG5" s="268">
        <f t="shared" si="10"/>
        <v>1</v>
      </c>
      <c r="AH5" s="268">
        <v>-3</v>
      </c>
      <c r="AI5" s="268">
        <f t="shared" si="11"/>
        <v>3</v>
      </c>
    </row>
    <row r="6" spans="1:35" x14ac:dyDescent="0.3">
      <c r="A6" s="546">
        <v>45468.75</v>
      </c>
      <c r="C6" s="547" cm="1">
        <f t="array" ref="C6">A6+INDEX($V$3:V$54,$C$3)*INDEX($W$3:$W$54,$C$3)</f>
        <v>45468.958333333336</v>
      </c>
      <c r="E6" s="268">
        <v>-5</v>
      </c>
      <c r="F6" s="547"/>
      <c r="P6" s="268">
        <v>4</v>
      </c>
      <c r="Q6" s="268" t="str">
        <f t="shared" si="0"/>
        <v>Canadá</v>
      </c>
      <c r="R6" s="268">
        <f t="shared" si="1"/>
        <v>-4</v>
      </c>
      <c r="S6" s="545">
        <f t="shared" si="2"/>
        <v>0.16666666666666666</v>
      </c>
      <c r="T6" s="268">
        <f t="shared" si="3"/>
        <v>0</v>
      </c>
      <c r="U6" s="268">
        <f t="shared" si="4"/>
        <v>0</v>
      </c>
      <c r="V6" s="545">
        <f t="shared" si="5"/>
        <v>0</v>
      </c>
      <c r="W6" s="268">
        <f t="shared" si="6"/>
        <v>0</v>
      </c>
      <c r="Z6" s="268">
        <v>4</v>
      </c>
      <c r="AA6" s="268" t="str">
        <f>Idiomas!D142</f>
        <v>Chile</v>
      </c>
      <c r="AB6" s="268">
        <v>-4</v>
      </c>
      <c r="AC6" s="545">
        <v>0.16666666666666666</v>
      </c>
      <c r="AD6" s="268">
        <f t="shared" si="7"/>
        <v>0</v>
      </c>
      <c r="AE6" s="268">
        <f t="shared" si="8"/>
        <v>0</v>
      </c>
      <c r="AF6" s="545">
        <f t="shared" si="9"/>
        <v>0</v>
      </c>
      <c r="AG6" s="268">
        <f t="shared" si="10"/>
        <v>0</v>
      </c>
      <c r="AH6" s="268">
        <v>-4</v>
      </c>
      <c r="AI6" s="268">
        <f t="shared" si="11"/>
        <v>5</v>
      </c>
    </row>
    <row r="7" spans="1:35" x14ac:dyDescent="0.3">
      <c r="A7" s="546">
        <v>45468.875</v>
      </c>
      <c r="C7" s="547" cm="1">
        <f t="array" ref="C7">A7+INDEX($V$3:V$54,$C$3)*INDEX($W$3:$W$54,$C$3)</f>
        <v>45469.083333333336</v>
      </c>
      <c r="E7" s="268">
        <v>-4</v>
      </c>
      <c r="F7" s="547"/>
      <c r="P7" s="268">
        <v>5</v>
      </c>
      <c r="Q7" s="268" t="str">
        <f t="shared" si="0"/>
        <v>Chile</v>
      </c>
      <c r="R7" s="268">
        <f t="shared" si="1"/>
        <v>-4</v>
      </c>
      <c r="S7" s="545">
        <f t="shared" si="2"/>
        <v>0.16666666666666666</v>
      </c>
      <c r="T7" s="268">
        <f t="shared" si="3"/>
        <v>0</v>
      </c>
      <c r="U7" s="268">
        <f t="shared" si="4"/>
        <v>0</v>
      </c>
      <c r="V7" s="545">
        <f t="shared" si="5"/>
        <v>0</v>
      </c>
      <c r="W7" s="268">
        <f t="shared" si="6"/>
        <v>0</v>
      </c>
      <c r="Z7" s="268">
        <v>5</v>
      </c>
      <c r="AA7" s="268" t="str">
        <f>Idiomas!D143</f>
        <v>Colombia</v>
      </c>
      <c r="AB7" s="268">
        <v>-4</v>
      </c>
      <c r="AC7" s="545">
        <v>0.16666666666666666</v>
      </c>
      <c r="AD7" s="268">
        <f t="shared" si="7"/>
        <v>0</v>
      </c>
      <c r="AE7" s="268">
        <f t="shared" si="8"/>
        <v>0</v>
      </c>
      <c r="AF7" s="545">
        <f t="shared" si="9"/>
        <v>0</v>
      </c>
      <c r="AG7" s="268">
        <f t="shared" si="10"/>
        <v>0</v>
      </c>
      <c r="AH7" s="268">
        <v>-4</v>
      </c>
      <c r="AI7" s="268">
        <f t="shared" si="11"/>
        <v>6</v>
      </c>
    </row>
    <row r="8" spans="1:35" x14ac:dyDescent="0.3">
      <c r="A8" s="546">
        <v>45472.833333333336</v>
      </c>
      <c r="C8" s="547" cm="1">
        <f t="array" ref="C8">A8+INDEX($V$3:V$54,$C$3)*INDEX($W$3:$W$54,$C$3)</f>
        <v>45473.041666666672</v>
      </c>
      <c r="E8" s="268">
        <v>-4</v>
      </c>
      <c r="F8" s="547"/>
      <c r="P8" s="268">
        <v>6</v>
      </c>
      <c r="Q8" s="268" t="str">
        <f t="shared" si="0"/>
        <v>Colombia</v>
      </c>
      <c r="R8" s="268">
        <f t="shared" si="1"/>
        <v>-4</v>
      </c>
      <c r="S8" s="545">
        <f t="shared" si="2"/>
        <v>0.16666666666666666</v>
      </c>
      <c r="T8" s="268">
        <f t="shared" si="3"/>
        <v>0</v>
      </c>
      <c r="U8" s="268">
        <f t="shared" si="4"/>
        <v>0</v>
      </c>
      <c r="V8" s="545">
        <f t="shared" si="5"/>
        <v>0</v>
      </c>
      <c r="W8" s="268">
        <f t="shared" si="6"/>
        <v>0</v>
      </c>
      <c r="Z8" s="268">
        <v>6</v>
      </c>
      <c r="AA8" s="268" t="str">
        <f>Idiomas!D144</f>
        <v>Ecuador</v>
      </c>
      <c r="AB8" s="268">
        <v>-5</v>
      </c>
      <c r="AC8" s="545">
        <v>0.20833333333333334</v>
      </c>
      <c r="AD8" s="268">
        <f t="shared" si="7"/>
        <v>0</v>
      </c>
      <c r="AE8" s="268">
        <f t="shared" si="8"/>
        <v>-1</v>
      </c>
      <c r="AF8" s="545">
        <f t="shared" si="9"/>
        <v>4.1666666666666664E-2</v>
      </c>
      <c r="AG8" s="268">
        <f t="shared" si="10"/>
        <v>-1</v>
      </c>
      <c r="AH8" s="268">
        <v>-5</v>
      </c>
      <c r="AI8" s="268">
        <f t="shared" si="11"/>
        <v>8</v>
      </c>
    </row>
    <row r="9" spans="1:35" x14ac:dyDescent="0.3">
      <c r="A9" s="546">
        <v>45472.833333333336</v>
      </c>
      <c r="C9" s="547" cm="1">
        <f t="array" ref="C9">A9+INDEX($V$3:V$54,$C$3)*INDEX($W$3:$W$54,$C$3)</f>
        <v>45473.041666666672</v>
      </c>
      <c r="E9" s="268">
        <v>-4</v>
      </c>
      <c r="F9" s="547"/>
      <c r="P9" s="268">
        <v>7</v>
      </c>
      <c r="Q9" s="268" t="str">
        <f t="shared" si="0"/>
        <v>Costa Rica</v>
      </c>
      <c r="R9" s="268">
        <f t="shared" si="1"/>
        <v>-6</v>
      </c>
      <c r="S9" s="545">
        <f t="shared" si="2"/>
        <v>0.25</v>
      </c>
      <c r="T9" s="268">
        <f t="shared" si="3"/>
        <v>0</v>
      </c>
      <c r="U9" s="268">
        <f t="shared" si="4"/>
        <v>-2</v>
      </c>
      <c r="V9" s="545">
        <f t="shared" si="5"/>
        <v>8.3333333333333329E-2</v>
      </c>
      <c r="W9" s="268">
        <f t="shared" si="6"/>
        <v>-1</v>
      </c>
      <c r="Z9" s="268">
        <v>7</v>
      </c>
      <c r="AA9" s="268" t="str">
        <f>Idiomas!D145</f>
        <v>Paraguay</v>
      </c>
      <c r="AB9" s="268">
        <v>-4</v>
      </c>
      <c r="AC9" s="545">
        <v>0.16666666666666666</v>
      </c>
      <c r="AD9" s="268">
        <f t="shared" si="7"/>
        <v>0</v>
      </c>
      <c r="AE9" s="268">
        <f t="shared" si="8"/>
        <v>0</v>
      </c>
      <c r="AF9" s="545">
        <f t="shared" si="9"/>
        <v>0</v>
      </c>
      <c r="AG9" s="268">
        <f t="shared" si="10"/>
        <v>0</v>
      </c>
      <c r="AH9" s="268">
        <v>-4</v>
      </c>
      <c r="AI9" s="268">
        <f t="shared" si="11"/>
        <v>13</v>
      </c>
    </row>
    <row r="10" spans="1:35" x14ac:dyDescent="0.3">
      <c r="C10" s="547"/>
      <c r="F10" s="547"/>
      <c r="P10" s="268">
        <v>8</v>
      </c>
      <c r="Q10" s="268" t="str">
        <f t="shared" si="0"/>
        <v>Ecuador</v>
      </c>
      <c r="R10" s="268">
        <f t="shared" si="1"/>
        <v>-5</v>
      </c>
      <c r="S10" s="545">
        <f t="shared" si="2"/>
        <v>0.20833333333333334</v>
      </c>
      <c r="T10" s="268">
        <f t="shared" si="3"/>
        <v>0</v>
      </c>
      <c r="U10" s="268">
        <f t="shared" si="4"/>
        <v>-1</v>
      </c>
      <c r="V10" s="545">
        <f t="shared" si="5"/>
        <v>4.1666666666666664E-2</v>
      </c>
      <c r="W10" s="268">
        <f t="shared" si="6"/>
        <v>-1</v>
      </c>
      <c r="Z10" s="268">
        <v>8</v>
      </c>
      <c r="AA10" s="268" t="str">
        <f>Idiomas!D146</f>
        <v>Perú</v>
      </c>
      <c r="AB10" s="268">
        <v>-5</v>
      </c>
      <c r="AC10" s="545">
        <v>0.20833333333333334</v>
      </c>
      <c r="AD10" s="268">
        <f t="shared" si="7"/>
        <v>0</v>
      </c>
      <c r="AE10" s="268">
        <f t="shared" si="8"/>
        <v>-1</v>
      </c>
      <c r="AF10" s="545">
        <f t="shared" si="9"/>
        <v>4.1666666666666664E-2</v>
      </c>
      <c r="AG10" s="268">
        <f t="shared" si="10"/>
        <v>-1</v>
      </c>
      <c r="AH10" s="268">
        <v>-5</v>
      </c>
      <c r="AI10" s="268">
        <f t="shared" si="11"/>
        <v>14</v>
      </c>
    </row>
    <row r="11" spans="1:35" x14ac:dyDescent="0.3">
      <c r="A11" s="548" t="s">
        <v>73</v>
      </c>
      <c r="C11" s="547"/>
      <c r="F11" s="547"/>
      <c r="P11" s="268">
        <v>9</v>
      </c>
      <c r="Q11" s="268" t="str">
        <f t="shared" si="0"/>
        <v>Estados Unidos</v>
      </c>
      <c r="R11" s="268">
        <f t="shared" si="1"/>
        <v>-4</v>
      </c>
      <c r="S11" s="545">
        <f t="shared" si="2"/>
        <v>0.16666666666666666</v>
      </c>
      <c r="T11" s="268">
        <f t="shared" si="3"/>
        <v>1</v>
      </c>
      <c r="U11" s="268">
        <f t="shared" si="4"/>
        <v>0</v>
      </c>
      <c r="V11" s="545">
        <f t="shared" si="5"/>
        <v>0</v>
      </c>
      <c r="W11" s="268">
        <f t="shared" si="6"/>
        <v>0</v>
      </c>
      <c r="Z11" s="268">
        <v>9</v>
      </c>
      <c r="AA11" s="268" t="str">
        <f>Idiomas!D147</f>
        <v>Uruguay</v>
      </c>
      <c r="AB11" s="268">
        <v>-3</v>
      </c>
      <c r="AC11" s="545">
        <v>0.125</v>
      </c>
      <c r="AD11" s="268">
        <f t="shared" si="7"/>
        <v>0</v>
      </c>
      <c r="AE11" s="268">
        <f t="shared" si="8"/>
        <v>1</v>
      </c>
      <c r="AF11" s="545">
        <f t="shared" si="9"/>
        <v>4.1666666666666664E-2</v>
      </c>
      <c r="AG11" s="268">
        <f t="shared" si="10"/>
        <v>1</v>
      </c>
      <c r="AH11" s="268">
        <v>-3</v>
      </c>
      <c r="AI11" s="268">
        <f t="shared" si="11"/>
        <v>15</v>
      </c>
    </row>
    <row r="12" spans="1:35" x14ac:dyDescent="0.3">
      <c r="A12" s="546">
        <v>45465.75</v>
      </c>
      <c r="C12" s="547" cm="1">
        <f t="array" ref="C12">A12+INDEX($V$3:V$54,$C$3)*INDEX($W$3:$W$54,$C$3)</f>
        <v>45465.958333333336</v>
      </c>
      <c r="E12" s="268">
        <v>-7</v>
      </c>
      <c r="F12" s="547"/>
      <c r="P12" s="268">
        <v>10</v>
      </c>
      <c r="Q12" s="268" t="str">
        <f t="shared" si="0"/>
        <v>Jamaica</v>
      </c>
      <c r="R12" s="268">
        <f t="shared" si="1"/>
        <v>-5</v>
      </c>
      <c r="S12" s="545">
        <f t="shared" si="2"/>
        <v>0.20833333333333334</v>
      </c>
      <c r="T12" s="268">
        <f t="shared" si="3"/>
        <v>0</v>
      </c>
      <c r="U12" s="268">
        <f t="shared" si="4"/>
        <v>-1</v>
      </c>
      <c r="V12" s="545">
        <f t="shared" si="5"/>
        <v>4.1666666666666664E-2</v>
      </c>
      <c r="W12" s="268">
        <f t="shared" si="6"/>
        <v>-1</v>
      </c>
      <c r="Z12" s="268">
        <v>10</v>
      </c>
      <c r="AA12" s="268" t="str">
        <f>Idiomas!D148</f>
        <v>Venezuela</v>
      </c>
      <c r="AB12" s="268">
        <v>-4</v>
      </c>
      <c r="AC12" s="545">
        <v>0.16666666666666666</v>
      </c>
      <c r="AD12" s="268">
        <f t="shared" si="7"/>
        <v>0</v>
      </c>
      <c r="AE12" s="268">
        <f t="shared" si="8"/>
        <v>0</v>
      </c>
      <c r="AF12" s="545">
        <f t="shared" si="9"/>
        <v>0</v>
      </c>
      <c r="AG12" s="268">
        <f t="shared" si="10"/>
        <v>0</v>
      </c>
      <c r="AH12" s="268">
        <v>-4</v>
      </c>
      <c r="AI12" s="268">
        <f t="shared" si="11"/>
        <v>16</v>
      </c>
    </row>
    <row r="13" spans="1:35" x14ac:dyDescent="0.3">
      <c r="A13" s="546">
        <v>45465.875</v>
      </c>
      <c r="C13" s="547" cm="1">
        <f t="array" ref="C13">A13+INDEX($V$3:V$54,$C$3)*INDEX($W$3:$W$54,$C$3)</f>
        <v>45466.083333333336</v>
      </c>
      <c r="E13" s="268">
        <v>-5</v>
      </c>
      <c r="F13" s="547"/>
      <c r="P13" s="268">
        <v>11</v>
      </c>
      <c r="Q13" s="268" t="str">
        <f t="shared" si="0"/>
        <v>México</v>
      </c>
      <c r="R13" s="268">
        <f t="shared" si="1"/>
        <v>-6</v>
      </c>
      <c r="S13" s="545">
        <f t="shared" si="2"/>
        <v>0.25</v>
      </c>
      <c r="T13" s="268">
        <f t="shared" si="3"/>
        <v>0</v>
      </c>
      <c r="U13" s="268">
        <f t="shared" si="4"/>
        <v>-2</v>
      </c>
      <c r="V13" s="545">
        <f t="shared" si="5"/>
        <v>8.3333333333333329E-2</v>
      </c>
      <c r="W13" s="268">
        <f t="shared" si="6"/>
        <v>-1</v>
      </c>
      <c r="Z13" s="268">
        <v>11</v>
      </c>
      <c r="AA13" s="268" t="str">
        <f>Idiomas!D149</f>
        <v>Estados Unidos</v>
      </c>
      <c r="AB13" s="268">
        <v>-4</v>
      </c>
      <c r="AC13" s="545">
        <v>0.16666666666666666</v>
      </c>
      <c r="AD13" s="268">
        <f t="shared" si="7"/>
        <v>1</v>
      </c>
      <c r="AE13" s="268">
        <f t="shared" si="8"/>
        <v>0</v>
      </c>
      <c r="AF13" s="545">
        <f t="shared" si="9"/>
        <v>0</v>
      </c>
      <c r="AG13" s="268">
        <f t="shared" si="10"/>
        <v>0</v>
      </c>
      <c r="AH13" s="268">
        <v>-4</v>
      </c>
      <c r="AI13" s="268">
        <f t="shared" si="11"/>
        <v>9</v>
      </c>
    </row>
    <row r="14" spans="1:35" x14ac:dyDescent="0.3">
      <c r="A14" s="546">
        <v>45469.75</v>
      </c>
      <c r="C14" s="547" cm="1">
        <f t="array" ref="C14">A14+INDEX($V$3:V$54,$C$3)*INDEX($W$3:$W$54,$C$3)</f>
        <v>45469.958333333336</v>
      </c>
      <c r="E14" s="268">
        <v>-7</v>
      </c>
      <c r="F14" s="547"/>
      <c r="P14" s="268">
        <v>12</v>
      </c>
      <c r="Q14" s="268" t="str">
        <f t="shared" si="0"/>
        <v>Panamá</v>
      </c>
      <c r="R14" s="268">
        <f t="shared" si="1"/>
        <v>-5</v>
      </c>
      <c r="S14" s="545">
        <f t="shared" si="2"/>
        <v>0.20833333333333334</v>
      </c>
      <c r="T14" s="268">
        <f t="shared" si="3"/>
        <v>0</v>
      </c>
      <c r="U14" s="268">
        <f t="shared" si="4"/>
        <v>-1</v>
      </c>
      <c r="V14" s="545">
        <f t="shared" si="5"/>
        <v>4.1666666666666664E-2</v>
      </c>
      <c r="W14" s="268">
        <f t="shared" si="6"/>
        <v>-1</v>
      </c>
      <c r="Z14" s="268">
        <v>12</v>
      </c>
      <c r="AA14" s="268" t="str">
        <f>Idiomas!D150</f>
        <v>Canadá</v>
      </c>
      <c r="AB14" s="268">
        <v>-4</v>
      </c>
      <c r="AC14" s="545">
        <v>0.16666666666666666</v>
      </c>
      <c r="AD14" s="268">
        <f t="shared" si="7"/>
        <v>0</v>
      </c>
      <c r="AE14" s="268">
        <f t="shared" si="8"/>
        <v>0</v>
      </c>
      <c r="AF14" s="545">
        <f t="shared" si="9"/>
        <v>0</v>
      </c>
      <c r="AG14" s="268">
        <f t="shared" si="10"/>
        <v>0</v>
      </c>
      <c r="AH14" s="268">
        <v>-4</v>
      </c>
      <c r="AI14" s="268">
        <f t="shared" si="11"/>
        <v>4</v>
      </c>
    </row>
    <row r="15" spans="1:35" x14ac:dyDescent="0.3">
      <c r="A15" s="546">
        <v>45469.875</v>
      </c>
      <c r="C15" s="547" cm="1">
        <f t="array" ref="C15">A15+INDEX($V$3:V$54,$C$3)*INDEX($W$3:$W$54,$C$3)</f>
        <v>45470.083333333336</v>
      </c>
      <c r="E15" s="268">
        <v>-7</v>
      </c>
      <c r="F15" s="547"/>
      <c r="P15" s="268">
        <v>13</v>
      </c>
      <c r="Q15" s="268" t="str">
        <f t="shared" si="0"/>
        <v>Paraguay</v>
      </c>
      <c r="R15" s="268">
        <f t="shared" si="1"/>
        <v>-4</v>
      </c>
      <c r="S15" s="545">
        <f t="shared" si="2"/>
        <v>0.16666666666666666</v>
      </c>
      <c r="T15" s="268">
        <f t="shared" si="3"/>
        <v>0</v>
      </c>
      <c r="U15" s="268">
        <f t="shared" si="4"/>
        <v>0</v>
      </c>
      <c r="V15" s="545">
        <f t="shared" si="5"/>
        <v>0</v>
      </c>
      <c r="W15" s="268">
        <f t="shared" si="6"/>
        <v>0</v>
      </c>
      <c r="Z15" s="268">
        <v>13</v>
      </c>
      <c r="AA15" s="268" t="str">
        <f>Idiomas!D151</f>
        <v>México</v>
      </c>
      <c r="AB15" s="268">
        <v>-6</v>
      </c>
      <c r="AC15" s="545">
        <v>0.25</v>
      </c>
      <c r="AD15" s="268">
        <f t="shared" si="7"/>
        <v>0</v>
      </c>
      <c r="AE15" s="268">
        <f t="shared" si="8"/>
        <v>-2</v>
      </c>
      <c r="AF15" s="545">
        <f t="shared" si="9"/>
        <v>8.3333333333333329E-2</v>
      </c>
      <c r="AG15" s="268">
        <f t="shared" si="10"/>
        <v>-1</v>
      </c>
      <c r="AH15" s="268">
        <v>-6</v>
      </c>
      <c r="AI15" s="268">
        <f t="shared" si="11"/>
        <v>11</v>
      </c>
    </row>
    <row r="16" spans="1:35" x14ac:dyDescent="0.3">
      <c r="A16" s="546">
        <v>45473.833333333336</v>
      </c>
      <c r="C16" s="547" cm="1">
        <f t="array" ref="C16">A16+INDEX($V$3:V$54,$C$3)*INDEX($W$3:$W$54,$C$3)</f>
        <v>45474.041666666672</v>
      </c>
      <c r="E16" s="268">
        <v>-7</v>
      </c>
      <c r="F16" s="547"/>
      <c r="P16" s="268">
        <v>14</v>
      </c>
      <c r="Q16" s="268" t="str">
        <f t="shared" si="0"/>
        <v>Perú</v>
      </c>
      <c r="R16" s="268">
        <f t="shared" si="1"/>
        <v>-5</v>
      </c>
      <c r="S16" s="545">
        <f t="shared" si="2"/>
        <v>0.20833333333333334</v>
      </c>
      <c r="T16" s="268">
        <f t="shared" si="3"/>
        <v>0</v>
      </c>
      <c r="U16" s="268">
        <f t="shared" si="4"/>
        <v>-1</v>
      </c>
      <c r="V16" s="545">
        <f t="shared" si="5"/>
        <v>4.1666666666666664E-2</v>
      </c>
      <c r="W16" s="268">
        <f t="shared" si="6"/>
        <v>-1</v>
      </c>
      <c r="Z16" s="268">
        <v>14</v>
      </c>
      <c r="AA16" s="268" t="str">
        <f>Idiomas!D152</f>
        <v>Costa Rica</v>
      </c>
      <c r="AB16" s="268">
        <v>-6</v>
      </c>
      <c r="AC16" s="545">
        <v>0.25</v>
      </c>
      <c r="AD16" s="268">
        <f t="shared" si="7"/>
        <v>0</v>
      </c>
      <c r="AE16" s="268">
        <f t="shared" si="8"/>
        <v>-2</v>
      </c>
      <c r="AF16" s="545">
        <f t="shared" si="9"/>
        <v>8.3333333333333329E-2</v>
      </c>
      <c r="AG16" s="268">
        <f t="shared" si="10"/>
        <v>-1</v>
      </c>
      <c r="AH16" s="268">
        <v>-6</v>
      </c>
      <c r="AI16" s="268">
        <f t="shared" si="11"/>
        <v>7</v>
      </c>
    </row>
    <row r="17" spans="1:35" x14ac:dyDescent="0.3">
      <c r="A17" s="546">
        <v>45473.833333333336</v>
      </c>
      <c r="C17" s="547" cm="1">
        <f t="array" ref="C17">A17+INDEX($V$3:V$54,$C$3)*INDEX($W$3:$W$54,$C$3)</f>
        <v>45474.041666666672</v>
      </c>
      <c r="E17" s="268">
        <v>-5</v>
      </c>
      <c r="F17" s="547"/>
      <c r="P17" s="268">
        <v>15</v>
      </c>
      <c r="Q17" s="268" t="str">
        <f t="shared" si="0"/>
        <v>Uruguay</v>
      </c>
      <c r="R17" s="268">
        <f t="shared" si="1"/>
        <v>-3</v>
      </c>
      <c r="S17" s="545">
        <f t="shared" si="2"/>
        <v>0.125</v>
      </c>
      <c r="T17" s="268">
        <f t="shared" si="3"/>
        <v>0</v>
      </c>
      <c r="U17" s="268">
        <f t="shared" si="4"/>
        <v>1</v>
      </c>
      <c r="V17" s="545">
        <f t="shared" si="5"/>
        <v>4.1666666666666664E-2</v>
      </c>
      <c r="W17" s="268">
        <f t="shared" si="6"/>
        <v>1</v>
      </c>
      <c r="Z17" s="268">
        <v>15</v>
      </c>
      <c r="AA17" s="268" t="str">
        <f>Idiomas!D153</f>
        <v>Jamaica</v>
      </c>
      <c r="AB17" s="268">
        <v>-5</v>
      </c>
      <c r="AC17" s="545">
        <v>0.20833333333333334</v>
      </c>
      <c r="AD17" s="268">
        <f t="shared" si="7"/>
        <v>0</v>
      </c>
      <c r="AE17" s="268">
        <f t="shared" si="8"/>
        <v>-1</v>
      </c>
      <c r="AF17" s="545">
        <f t="shared" si="9"/>
        <v>4.1666666666666664E-2</v>
      </c>
      <c r="AG17" s="268">
        <f t="shared" si="10"/>
        <v>-1</v>
      </c>
      <c r="AH17" s="268">
        <v>-5</v>
      </c>
      <c r="AI17" s="268">
        <f t="shared" si="11"/>
        <v>10</v>
      </c>
    </row>
    <row r="18" spans="1:35" x14ac:dyDescent="0.3">
      <c r="C18" s="547"/>
      <c r="F18" s="547"/>
      <c r="P18" s="268">
        <v>16</v>
      </c>
      <c r="Q18" s="268" t="str">
        <f t="shared" si="0"/>
        <v>Venezuela</v>
      </c>
      <c r="R18" s="268">
        <f t="shared" si="1"/>
        <v>-4</v>
      </c>
      <c r="S18" s="545">
        <f t="shared" si="2"/>
        <v>0.16666666666666666</v>
      </c>
      <c r="T18" s="268">
        <f t="shared" si="3"/>
        <v>0</v>
      </c>
      <c r="U18" s="268">
        <f t="shared" si="4"/>
        <v>0</v>
      </c>
      <c r="V18" s="545">
        <f t="shared" si="5"/>
        <v>0</v>
      </c>
      <c r="W18" s="268">
        <f t="shared" si="6"/>
        <v>0</v>
      </c>
      <c r="Z18" s="268">
        <v>16</v>
      </c>
      <c r="AA18" s="268" t="str">
        <f>Idiomas!D154</f>
        <v>Panamá</v>
      </c>
      <c r="AB18" s="268">
        <v>-5</v>
      </c>
      <c r="AC18" s="545">
        <v>0.20833333333333334</v>
      </c>
      <c r="AD18" s="268">
        <f t="shared" si="7"/>
        <v>0</v>
      </c>
      <c r="AE18" s="268">
        <f t="shared" si="8"/>
        <v>-1</v>
      </c>
      <c r="AF18" s="545">
        <f t="shared" si="9"/>
        <v>4.1666666666666664E-2</v>
      </c>
      <c r="AG18" s="268">
        <f t="shared" si="10"/>
        <v>-1</v>
      </c>
      <c r="AH18" s="268">
        <v>-5</v>
      </c>
      <c r="AI18" s="268">
        <f t="shared" si="11"/>
        <v>12</v>
      </c>
    </row>
    <row r="19" spans="1:35" x14ac:dyDescent="0.3">
      <c r="A19" s="549" t="s">
        <v>10</v>
      </c>
      <c r="C19" s="547"/>
      <c r="F19" s="547"/>
      <c r="P19" s="268">
        <v>17</v>
      </c>
      <c r="Q19" s="268" t="s">
        <v>169</v>
      </c>
      <c r="R19" s="268">
        <f t="shared" si="1"/>
        <v>-12</v>
      </c>
      <c r="S19" s="545">
        <f t="shared" si="2"/>
        <v>0.5</v>
      </c>
      <c r="T19" s="268">
        <f t="shared" si="3"/>
        <v>0</v>
      </c>
      <c r="U19" s="268">
        <f t="shared" si="4"/>
        <v>-8</v>
      </c>
      <c r="V19" s="545">
        <f t="shared" si="5"/>
        <v>0.33333333333333331</v>
      </c>
      <c r="W19" s="268">
        <f t="shared" si="6"/>
        <v>-1</v>
      </c>
      <c r="Z19" s="268">
        <v>17</v>
      </c>
      <c r="AA19" s="268" t="s">
        <v>169</v>
      </c>
      <c r="AB19" s="268">
        <v>-12</v>
      </c>
      <c r="AC19" s="545">
        <v>0.5</v>
      </c>
      <c r="AD19" s="268">
        <f t="shared" si="7"/>
        <v>0</v>
      </c>
      <c r="AE19" s="268">
        <f t="shared" si="8"/>
        <v>-8</v>
      </c>
      <c r="AF19" s="545">
        <f t="shared" si="9"/>
        <v>0.33333333333333331</v>
      </c>
      <c r="AG19" s="268">
        <f t="shared" ref="AG19:AG28" si="12">IF(AB19&gt;$M$2,1,IF(AB19=$M$2,0,-1))</f>
        <v>-1</v>
      </c>
    </row>
    <row r="20" spans="1:35" x14ac:dyDescent="0.3">
      <c r="A20" s="546">
        <v>45466.75</v>
      </c>
      <c r="C20" s="547" cm="1">
        <f t="array" ref="C20">A20+INDEX($V$3:V$54,$C$3)*INDEX($W$3:$W$54,$C$3)</f>
        <v>45466.958333333336</v>
      </c>
      <c r="E20" s="268">
        <v>-5</v>
      </c>
      <c r="F20" s="547"/>
      <c r="P20" s="268">
        <v>18</v>
      </c>
      <c r="Q20" s="268" t="s">
        <v>170</v>
      </c>
      <c r="R20" s="268">
        <f t="shared" si="1"/>
        <v>-11</v>
      </c>
      <c r="S20" s="545">
        <f t="shared" si="2"/>
        <v>0.45833333333333331</v>
      </c>
      <c r="T20" s="268">
        <f t="shared" si="3"/>
        <v>0</v>
      </c>
      <c r="U20" s="268">
        <f t="shared" si="4"/>
        <v>-7</v>
      </c>
      <c r="V20" s="545">
        <f t="shared" si="5"/>
        <v>0.29166666666666669</v>
      </c>
      <c r="W20" s="268">
        <f t="shared" si="6"/>
        <v>-1</v>
      </c>
      <c r="Z20" s="268">
        <v>18</v>
      </c>
      <c r="AA20" s="268" t="s">
        <v>170</v>
      </c>
      <c r="AB20" s="268">
        <v>-11</v>
      </c>
      <c r="AC20" s="545">
        <v>0.45833333333333331</v>
      </c>
      <c r="AD20" s="268">
        <f t="shared" si="7"/>
        <v>0</v>
      </c>
      <c r="AE20" s="268">
        <f t="shared" si="8"/>
        <v>-7</v>
      </c>
      <c r="AF20" s="545">
        <f t="shared" si="9"/>
        <v>0.29166666666666669</v>
      </c>
      <c r="AG20" s="268">
        <f t="shared" si="12"/>
        <v>-1</v>
      </c>
    </row>
    <row r="21" spans="1:35" x14ac:dyDescent="0.3">
      <c r="A21" s="546">
        <v>45466.875</v>
      </c>
      <c r="C21" s="547" cm="1">
        <f t="array" ref="C21">A21+INDEX($V$3:V$54,$C$3)*INDEX($W$3:$W$54,$C$3)</f>
        <v>45467.083333333336</v>
      </c>
      <c r="E21" s="268">
        <v>-4</v>
      </c>
      <c r="F21" s="547"/>
      <c r="P21" s="268">
        <v>19</v>
      </c>
      <c r="Q21" s="268" t="s">
        <v>171</v>
      </c>
      <c r="R21" s="268">
        <f t="shared" si="1"/>
        <v>-10</v>
      </c>
      <c r="S21" s="545">
        <f t="shared" si="2"/>
        <v>0.41666666666666702</v>
      </c>
      <c r="T21" s="268">
        <f t="shared" si="3"/>
        <v>0</v>
      </c>
      <c r="U21" s="268">
        <f t="shared" si="4"/>
        <v>-6</v>
      </c>
      <c r="V21" s="545">
        <f t="shared" si="5"/>
        <v>0.25</v>
      </c>
      <c r="W21" s="268">
        <f t="shared" si="6"/>
        <v>-1</v>
      </c>
      <c r="Z21" s="268">
        <v>19</v>
      </c>
      <c r="AA21" s="268" t="s">
        <v>171</v>
      </c>
      <c r="AB21" s="268">
        <v>-10</v>
      </c>
      <c r="AC21" s="545">
        <v>0.41666666666666702</v>
      </c>
      <c r="AD21" s="268">
        <f t="shared" si="7"/>
        <v>0</v>
      </c>
      <c r="AE21" s="268">
        <f t="shared" si="8"/>
        <v>-6</v>
      </c>
      <c r="AF21" s="545">
        <f t="shared" si="9"/>
        <v>0.25</v>
      </c>
      <c r="AG21" s="268">
        <f t="shared" si="12"/>
        <v>-1</v>
      </c>
    </row>
    <row r="22" spans="1:35" x14ac:dyDescent="0.3">
      <c r="A22" s="546">
        <v>45470.75</v>
      </c>
      <c r="C22" s="547" cm="1">
        <f t="array" ref="C22">A22+INDEX($V$3:V$54,$C$3)*INDEX($W$3:$W$54,$C$3)</f>
        <v>45470.958333333336</v>
      </c>
      <c r="E22" s="268">
        <v>-4</v>
      </c>
      <c r="F22" s="547"/>
      <c r="P22" s="268">
        <v>20</v>
      </c>
      <c r="Q22" s="268" t="s">
        <v>172</v>
      </c>
      <c r="R22" s="268">
        <f t="shared" si="1"/>
        <v>-9</v>
      </c>
      <c r="S22" s="545">
        <f t="shared" si="2"/>
        <v>0.375</v>
      </c>
      <c r="T22" s="268">
        <f t="shared" si="3"/>
        <v>0</v>
      </c>
      <c r="U22" s="268">
        <f t="shared" si="4"/>
        <v>-5</v>
      </c>
      <c r="V22" s="545">
        <f t="shared" si="5"/>
        <v>0.20833333333333334</v>
      </c>
      <c r="W22" s="268">
        <f t="shared" si="6"/>
        <v>-1</v>
      </c>
      <c r="Z22" s="268">
        <v>20</v>
      </c>
      <c r="AA22" s="268" t="s">
        <v>172</v>
      </c>
      <c r="AB22" s="268">
        <v>-9</v>
      </c>
      <c r="AC22" s="545">
        <v>0.375</v>
      </c>
      <c r="AD22" s="268">
        <f t="shared" si="7"/>
        <v>0</v>
      </c>
      <c r="AE22" s="268">
        <f t="shared" si="8"/>
        <v>-5</v>
      </c>
      <c r="AF22" s="545">
        <f t="shared" si="9"/>
        <v>0.20833333333333334</v>
      </c>
      <c r="AG22" s="268">
        <f t="shared" si="12"/>
        <v>-1</v>
      </c>
    </row>
    <row r="23" spans="1:35" x14ac:dyDescent="0.3">
      <c r="A23" s="546">
        <v>45470.875</v>
      </c>
      <c r="C23" s="547" cm="1">
        <f t="array" ref="C23">A23+INDEX($V$3:V$54,$C$3)*INDEX($W$3:$W$54,$C$3)</f>
        <v>45471.083333333336</v>
      </c>
      <c r="E23" s="268">
        <v>-4</v>
      </c>
      <c r="F23" s="547"/>
      <c r="P23" s="268">
        <v>21</v>
      </c>
      <c r="Q23" s="268" t="s">
        <v>173</v>
      </c>
      <c r="R23" s="268">
        <f t="shared" si="1"/>
        <v>-8</v>
      </c>
      <c r="S23" s="545">
        <f t="shared" si="2"/>
        <v>0.33333333333333298</v>
      </c>
      <c r="T23" s="268">
        <f t="shared" si="3"/>
        <v>0</v>
      </c>
      <c r="U23" s="268">
        <f t="shared" si="4"/>
        <v>-4</v>
      </c>
      <c r="V23" s="545">
        <f t="shared" si="5"/>
        <v>0.16666666666666666</v>
      </c>
      <c r="W23" s="268">
        <f t="shared" si="6"/>
        <v>-1</v>
      </c>
      <c r="Z23" s="268">
        <v>21</v>
      </c>
      <c r="AA23" s="268" t="s">
        <v>173</v>
      </c>
      <c r="AB23" s="268">
        <v>-8</v>
      </c>
      <c r="AC23" s="545">
        <v>0.33333333333333298</v>
      </c>
      <c r="AD23" s="268">
        <f t="shared" si="7"/>
        <v>0</v>
      </c>
      <c r="AE23" s="268">
        <f t="shared" si="8"/>
        <v>-4</v>
      </c>
      <c r="AF23" s="545">
        <f t="shared" si="9"/>
        <v>0.16666666666666666</v>
      </c>
      <c r="AG23" s="268">
        <f t="shared" si="12"/>
        <v>-1</v>
      </c>
    </row>
    <row r="24" spans="1:35" x14ac:dyDescent="0.3">
      <c r="A24" s="546">
        <v>45474.875</v>
      </c>
      <c r="C24" s="547" cm="1">
        <f t="array" ref="C24">A24+INDEX($V$3:V$54,$C$3)*INDEX($W$3:$W$54,$C$3)</f>
        <v>45475.083333333336</v>
      </c>
      <c r="E24" s="268">
        <v>-5</v>
      </c>
      <c r="F24" s="547"/>
      <c r="P24" s="268">
        <v>22</v>
      </c>
      <c r="Q24" s="268" t="s">
        <v>174</v>
      </c>
      <c r="R24" s="268">
        <f t="shared" si="1"/>
        <v>-7</v>
      </c>
      <c r="S24" s="545">
        <f t="shared" si="2"/>
        <v>0.29166666666666702</v>
      </c>
      <c r="T24" s="268">
        <f t="shared" si="3"/>
        <v>0</v>
      </c>
      <c r="U24" s="268">
        <f t="shared" si="4"/>
        <v>-3</v>
      </c>
      <c r="V24" s="545">
        <f t="shared" si="5"/>
        <v>0.125</v>
      </c>
      <c r="W24" s="268">
        <f t="shared" si="6"/>
        <v>-1</v>
      </c>
      <c r="Z24" s="268">
        <v>22</v>
      </c>
      <c r="AA24" s="268" t="s">
        <v>174</v>
      </c>
      <c r="AB24" s="268">
        <v>-7</v>
      </c>
      <c r="AC24" s="545">
        <v>0.29166666666666702</v>
      </c>
      <c r="AD24" s="268">
        <f t="shared" si="7"/>
        <v>0</v>
      </c>
      <c r="AE24" s="268">
        <f t="shared" si="8"/>
        <v>-3</v>
      </c>
      <c r="AF24" s="545">
        <f t="shared" si="9"/>
        <v>0.125</v>
      </c>
      <c r="AG24" s="268">
        <f t="shared" si="12"/>
        <v>-1</v>
      </c>
    </row>
    <row r="25" spans="1:35" x14ac:dyDescent="0.3">
      <c r="A25" s="546">
        <v>45474.875</v>
      </c>
      <c r="C25" s="547" cm="1">
        <f t="array" ref="C25">A25+INDEX($V$3:V$54,$C$3)*INDEX($W$3:$W$54,$C$3)</f>
        <v>45475.083333333336</v>
      </c>
      <c r="E25" s="268">
        <v>-4</v>
      </c>
      <c r="F25" s="547"/>
      <c r="P25" s="268">
        <v>23</v>
      </c>
      <c r="Q25" s="268" t="s">
        <v>175</v>
      </c>
      <c r="R25" s="268">
        <f t="shared" si="1"/>
        <v>-6</v>
      </c>
      <c r="S25" s="545">
        <f t="shared" si="2"/>
        <v>0.25</v>
      </c>
      <c r="T25" s="268">
        <f t="shared" si="3"/>
        <v>0</v>
      </c>
      <c r="U25" s="268">
        <f t="shared" si="4"/>
        <v>-2</v>
      </c>
      <c r="V25" s="545">
        <f t="shared" si="5"/>
        <v>8.3333333333333329E-2</v>
      </c>
      <c r="W25" s="268">
        <f t="shared" si="6"/>
        <v>-1</v>
      </c>
      <c r="Z25" s="268">
        <v>23</v>
      </c>
      <c r="AA25" s="268" t="s">
        <v>175</v>
      </c>
      <c r="AB25" s="268">
        <v>-6</v>
      </c>
      <c r="AC25" s="545">
        <v>0.25</v>
      </c>
      <c r="AD25" s="268">
        <f t="shared" si="7"/>
        <v>0</v>
      </c>
      <c r="AE25" s="268">
        <f t="shared" si="8"/>
        <v>-2</v>
      </c>
      <c r="AF25" s="545">
        <f t="shared" si="9"/>
        <v>8.3333333333333329E-2</v>
      </c>
      <c r="AG25" s="268">
        <f t="shared" si="12"/>
        <v>-1</v>
      </c>
    </row>
    <row r="26" spans="1:35" x14ac:dyDescent="0.3">
      <c r="C26" s="547"/>
      <c r="F26" s="547"/>
      <c r="P26" s="268">
        <v>24</v>
      </c>
      <c r="Q26" s="268" t="s">
        <v>176</v>
      </c>
      <c r="R26" s="268">
        <f t="shared" si="1"/>
        <v>-5</v>
      </c>
      <c r="S26" s="545">
        <f t="shared" si="2"/>
        <v>0.20833333333333301</v>
      </c>
      <c r="T26" s="268">
        <f t="shared" si="3"/>
        <v>0</v>
      </c>
      <c r="U26" s="268">
        <f t="shared" si="4"/>
        <v>-1</v>
      </c>
      <c r="V26" s="545">
        <f t="shared" si="5"/>
        <v>4.1666666666666664E-2</v>
      </c>
      <c r="W26" s="268">
        <f t="shared" si="6"/>
        <v>-1</v>
      </c>
      <c r="Z26" s="268">
        <v>24</v>
      </c>
      <c r="AA26" s="268" t="s">
        <v>176</v>
      </c>
      <c r="AB26" s="268">
        <v>-5</v>
      </c>
      <c r="AC26" s="545">
        <v>0.20833333333333301</v>
      </c>
      <c r="AD26" s="268">
        <f t="shared" si="7"/>
        <v>0</v>
      </c>
      <c r="AE26" s="268">
        <f t="shared" si="8"/>
        <v>-1</v>
      </c>
      <c r="AF26" s="545">
        <f t="shared" si="9"/>
        <v>4.1666666666666664E-2</v>
      </c>
      <c r="AG26" s="268">
        <f t="shared" si="12"/>
        <v>-1</v>
      </c>
    </row>
    <row r="27" spans="1:35" x14ac:dyDescent="0.3">
      <c r="A27" s="549" t="s">
        <v>111</v>
      </c>
      <c r="C27" s="547"/>
      <c r="F27" s="547"/>
      <c r="P27" s="268">
        <v>25</v>
      </c>
      <c r="Q27" s="268" t="s">
        <v>177</v>
      </c>
      <c r="R27" s="268">
        <f t="shared" si="1"/>
        <v>-4</v>
      </c>
      <c r="S27" s="545">
        <f t="shared" si="2"/>
        <v>0.16666666666666699</v>
      </c>
      <c r="T27" s="268">
        <f t="shared" si="3"/>
        <v>0</v>
      </c>
      <c r="U27" s="268">
        <f t="shared" si="4"/>
        <v>0</v>
      </c>
      <c r="V27" s="545">
        <f t="shared" si="5"/>
        <v>0</v>
      </c>
      <c r="W27" s="268">
        <f t="shared" si="6"/>
        <v>0</v>
      </c>
      <c r="Z27" s="268">
        <v>25</v>
      </c>
      <c r="AA27" s="268" t="s">
        <v>177</v>
      </c>
      <c r="AB27" s="268">
        <v>-4</v>
      </c>
      <c r="AC27" s="545">
        <v>0.16666666666666699</v>
      </c>
      <c r="AD27" s="268">
        <f t="shared" si="7"/>
        <v>0</v>
      </c>
      <c r="AE27" s="268">
        <f t="shared" si="8"/>
        <v>0</v>
      </c>
      <c r="AF27" s="545">
        <f t="shared" si="9"/>
        <v>0</v>
      </c>
      <c r="AG27" s="268">
        <f t="shared" si="12"/>
        <v>0</v>
      </c>
    </row>
    <row r="28" spans="1:35" x14ac:dyDescent="0.3">
      <c r="A28" s="546">
        <v>45467.75</v>
      </c>
      <c r="C28" s="547" cm="1">
        <f t="array" ref="C28">A28+INDEX($V$3:V$54,$C$3)*INDEX($W$3:$W$54,$C$3)</f>
        <v>45467.958333333336</v>
      </c>
      <c r="E28" s="268">
        <v>-5</v>
      </c>
      <c r="F28" s="547"/>
      <c r="P28" s="268">
        <v>26</v>
      </c>
      <c r="Q28" s="268" t="s">
        <v>371</v>
      </c>
      <c r="R28" s="268">
        <f t="shared" si="1"/>
        <v>-3.5</v>
      </c>
      <c r="S28" s="545">
        <f t="shared" si="2"/>
        <v>0.14583333333333334</v>
      </c>
      <c r="T28" s="268">
        <f t="shared" si="3"/>
        <v>0</v>
      </c>
      <c r="U28" s="268">
        <f t="shared" si="4"/>
        <v>0.5</v>
      </c>
      <c r="V28" s="545">
        <f t="shared" si="5"/>
        <v>2.0833333333333332E-2</v>
      </c>
      <c r="W28" s="268">
        <f t="shared" si="6"/>
        <v>1</v>
      </c>
      <c r="Z28" s="268">
        <v>26</v>
      </c>
      <c r="AA28" s="268" t="s">
        <v>371</v>
      </c>
      <c r="AB28" s="268">
        <v>-3.5</v>
      </c>
      <c r="AC28" s="545">
        <v>0.14583333333333334</v>
      </c>
      <c r="AD28" s="268">
        <f t="shared" si="7"/>
        <v>0</v>
      </c>
      <c r="AE28" s="268">
        <f t="shared" si="8"/>
        <v>0.5</v>
      </c>
      <c r="AF28" s="545">
        <f t="shared" si="9"/>
        <v>2.0833333333333332E-2</v>
      </c>
      <c r="AG28" s="268">
        <f t="shared" si="12"/>
        <v>1</v>
      </c>
    </row>
    <row r="29" spans="1:35" x14ac:dyDescent="0.3">
      <c r="A29" s="546">
        <v>45467.875</v>
      </c>
      <c r="C29" s="547" cm="1">
        <f t="array" ref="C29">A29+INDEX($V$3:V$54,$C$3)*INDEX($W$3:$W$54,$C$3)</f>
        <v>45468.083333333336</v>
      </c>
      <c r="E29" s="268">
        <v>-7</v>
      </c>
      <c r="F29" s="547"/>
      <c r="P29" s="268">
        <v>27</v>
      </c>
      <c r="Q29" s="268" t="s">
        <v>178</v>
      </c>
      <c r="R29" s="268">
        <f t="shared" si="1"/>
        <v>-3</v>
      </c>
      <c r="S29" s="545">
        <f t="shared" si="2"/>
        <v>0.125</v>
      </c>
      <c r="T29" s="268">
        <f t="shared" si="3"/>
        <v>0</v>
      </c>
      <c r="U29" s="268">
        <f t="shared" si="4"/>
        <v>1</v>
      </c>
      <c r="V29" s="545">
        <f t="shared" si="5"/>
        <v>4.1666666666666664E-2</v>
      </c>
      <c r="W29" s="268">
        <f t="shared" si="6"/>
        <v>1</v>
      </c>
      <c r="Z29" s="268">
        <v>27</v>
      </c>
      <c r="AA29" s="268" t="s">
        <v>178</v>
      </c>
      <c r="AB29" s="268">
        <v>-3</v>
      </c>
      <c r="AC29" s="545">
        <v>0.125</v>
      </c>
      <c r="AD29" s="268">
        <f t="shared" si="7"/>
        <v>0</v>
      </c>
      <c r="AE29" s="268">
        <f t="shared" si="8"/>
        <v>1</v>
      </c>
      <c r="AF29" s="545">
        <f t="shared" si="9"/>
        <v>4.1666666666666664E-2</v>
      </c>
      <c r="AG29" s="268">
        <f t="shared" ref="AG29:AG54" si="13">IF(AB29&gt;$M$2,1,IF(AB29=$M$2,0,-1))</f>
        <v>1</v>
      </c>
    </row>
    <row r="30" spans="1:35" x14ac:dyDescent="0.3">
      <c r="A30" s="546">
        <v>45471.75</v>
      </c>
      <c r="C30" s="547" cm="1">
        <f t="array" ref="C30">A30+INDEX($V$3:V$54,$C$3)*INDEX($W$3:$W$54,$C$3)</f>
        <v>45471.958333333336</v>
      </c>
      <c r="E30" s="268">
        <v>-7</v>
      </c>
      <c r="F30" s="547"/>
      <c r="P30" s="268">
        <v>28</v>
      </c>
      <c r="Q30" s="268" t="s">
        <v>179</v>
      </c>
      <c r="R30" s="268">
        <f t="shared" si="1"/>
        <v>-2</v>
      </c>
      <c r="S30" s="545">
        <f t="shared" si="2"/>
        <v>8.3333333333333329E-2</v>
      </c>
      <c r="T30" s="268">
        <f t="shared" si="3"/>
        <v>0</v>
      </c>
      <c r="U30" s="268">
        <f t="shared" si="4"/>
        <v>2</v>
      </c>
      <c r="V30" s="545">
        <f t="shared" si="5"/>
        <v>8.3333333333333329E-2</v>
      </c>
      <c r="W30" s="268">
        <f t="shared" si="6"/>
        <v>1</v>
      </c>
      <c r="Z30" s="268">
        <v>28</v>
      </c>
      <c r="AA30" s="268" t="s">
        <v>179</v>
      </c>
      <c r="AB30" s="268">
        <v>-2</v>
      </c>
      <c r="AC30" s="545">
        <v>8.3333333333333329E-2</v>
      </c>
      <c r="AD30" s="268">
        <f t="shared" si="7"/>
        <v>0</v>
      </c>
      <c r="AE30" s="268">
        <f t="shared" si="8"/>
        <v>2</v>
      </c>
      <c r="AF30" s="545">
        <f t="shared" si="9"/>
        <v>8.3333333333333329E-2</v>
      </c>
      <c r="AG30" s="268">
        <f t="shared" si="13"/>
        <v>1</v>
      </c>
    </row>
    <row r="31" spans="1:35" x14ac:dyDescent="0.3">
      <c r="A31" s="546">
        <v>45471.875</v>
      </c>
      <c r="C31" s="547" cm="1">
        <f t="array" ref="C31">A31+INDEX($V$3:V$54,$C$3)*INDEX($W$3:$W$54,$C$3)</f>
        <v>45472.083333333336</v>
      </c>
      <c r="E31" s="268">
        <v>-7</v>
      </c>
      <c r="F31" s="547"/>
      <c r="P31" s="268">
        <v>29</v>
      </c>
      <c r="Q31" s="268" t="s">
        <v>180</v>
      </c>
      <c r="R31" s="268">
        <f t="shared" si="1"/>
        <v>-1</v>
      </c>
      <c r="S31" s="545">
        <f t="shared" si="2"/>
        <v>4.1666666666666699E-2</v>
      </c>
      <c r="T31" s="268">
        <f t="shared" si="3"/>
        <v>0</v>
      </c>
      <c r="U31" s="268">
        <f t="shared" si="4"/>
        <v>3</v>
      </c>
      <c r="V31" s="545">
        <f t="shared" si="5"/>
        <v>0.125</v>
      </c>
      <c r="W31" s="268">
        <f t="shared" si="6"/>
        <v>1</v>
      </c>
      <c r="Z31" s="268">
        <v>29</v>
      </c>
      <c r="AA31" s="268" t="s">
        <v>180</v>
      </c>
      <c r="AB31" s="268">
        <v>-1</v>
      </c>
      <c r="AC31" s="545">
        <v>4.1666666666666699E-2</v>
      </c>
      <c r="AD31" s="268">
        <f t="shared" si="7"/>
        <v>0</v>
      </c>
      <c r="AE31" s="268">
        <f t="shared" si="8"/>
        <v>3</v>
      </c>
      <c r="AF31" s="545">
        <f t="shared" si="9"/>
        <v>0.125</v>
      </c>
      <c r="AG31" s="268">
        <f t="shared" si="13"/>
        <v>1</v>
      </c>
    </row>
    <row r="32" spans="1:35" x14ac:dyDescent="0.3">
      <c r="A32" s="546">
        <v>45475.875</v>
      </c>
      <c r="C32" s="547" cm="1">
        <f t="array" ref="C32">A32+INDEX($V$3:V$54,$C$3)*INDEX($W$3:$W$54,$C$3)</f>
        <v>45476.083333333336</v>
      </c>
      <c r="E32" s="268">
        <v>-7</v>
      </c>
      <c r="F32" s="547"/>
      <c r="P32" s="268">
        <v>30</v>
      </c>
      <c r="Q32" s="268" t="s">
        <v>161</v>
      </c>
      <c r="R32" s="268">
        <f t="shared" si="1"/>
        <v>0</v>
      </c>
      <c r="S32" s="545">
        <f t="shared" si="2"/>
        <v>0</v>
      </c>
      <c r="T32" s="268">
        <f t="shared" si="3"/>
        <v>0</v>
      </c>
      <c r="U32" s="268">
        <f t="shared" si="4"/>
        <v>4</v>
      </c>
      <c r="V32" s="545">
        <f t="shared" si="5"/>
        <v>0.16666666666666666</v>
      </c>
      <c r="W32" s="268">
        <f t="shared" si="6"/>
        <v>1</v>
      </c>
      <c r="Z32" s="268">
        <v>30</v>
      </c>
      <c r="AA32" s="268" t="s">
        <v>161</v>
      </c>
      <c r="AB32" s="268">
        <v>0</v>
      </c>
      <c r="AC32" s="545">
        <v>0</v>
      </c>
      <c r="AD32" s="268">
        <f t="shared" si="7"/>
        <v>0</v>
      </c>
      <c r="AE32" s="268">
        <f t="shared" si="8"/>
        <v>4</v>
      </c>
      <c r="AF32" s="545">
        <f t="shared" si="9"/>
        <v>0.16666666666666666</v>
      </c>
      <c r="AG32" s="268">
        <f t="shared" si="13"/>
        <v>1</v>
      </c>
    </row>
    <row r="33" spans="1:33" x14ac:dyDescent="0.3">
      <c r="A33" s="546">
        <v>45475.875</v>
      </c>
      <c r="C33" s="547" cm="1">
        <f t="array" ref="C33">A33+INDEX($V$3:V$54,$C$3)*INDEX($W$3:$W$54,$C$3)</f>
        <v>45476.083333333336</v>
      </c>
      <c r="E33" s="268">
        <v>-5</v>
      </c>
      <c r="F33" s="547"/>
      <c r="P33" s="268">
        <v>31</v>
      </c>
      <c r="Q33" s="268" t="s">
        <v>181</v>
      </c>
      <c r="R33" s="268">
        <f t="shared" si="1"/>
        <v>1</v>
      </c>
      <c r="S33" s="545">
        <f t="shared" si="2"/>
        <v>4.1666666666666699E-2</v>
      </c>
      <c r="T33" s="268">
        <f t="shared" si="3"/>
        <v>0</v>
      </c>
      <c r="U33" s="268">
        <f t="shared" si="4"/>
        <v>5</v>
      </c>
      <c r="V33" s="545">
        <f t="shared" si="5"/>
        <v>0.20833333333333334</v>
      </c>
      <c r="W33" s="268">
        <f t="shared" si="6"/>
        <v>1</v>
      </c>
      <c r="Z33" s="268">
        <v>31</v>
      </c>
      <c r="AA33" s="268" t="s">
        <v>181</v>
      </c>
      <c r="AB33" s="268">
        <v>1</v>
      </c>
      <c r="AC33" s="545">
        <v>4.1666666666666699E-2</v>
      </c>
      <c r="AD33" s="268">
        <f t="shared" si="7"/>
        <v>0</v>
      </c>
      <c r="AE33" s="268">
        <f t="shared" si="8"/>
        <v>5</v>
      </c>
      <c r="AF33" s="545">
        <f t="shared" si="9"/>
        <v>0.20833333333333334</v>
      </c>
      <c r="AG33" s="268">
        <f t="shared" si="13"/>
        <v>1</v>
      </c>
    </row>
    <row r="34" spans="1:33" x14ac:dyDescent="0.3">
      <c r="C34" s="547"/>
      <c r="F34" s="547"/>
      <c r="P34" s="268">
        <v>32</v>
      </c>
      <c r="Q34" s="268" t="s">
        <v>182</v>
      </c>
      <c r="R34" s="268">
        <f t="shared" si="1"/>
        <v>2</v>
      </c>
      <c r="S34" s="545">
        <f t="shared" si="2"/>
        <v>8.3333333333333329E-2</v>
      </c>
      <c r="T34" s="268">
        <f t="shared" si="3"/>
        <v>0</v>
      </c>
      <c r="U34" s="268">
        <f t="shared" si="4"/>
        <v>6</v>
      </c>
      <c r="V34" s="545">
        <f t="shared" si="5"/>
        <v>0.25</v>
      </c>
      <c r="W34" s="268">
        <f t="shared" si="6"/>
        <v>1</v>
      </c>
      <c r="Z34" s="268">
        <v>32</v>
      </c>
      <c r="AA34" s="268" t="s">
        <v>182</v>
      </c>
      <c r="AB34" s="268">
        <v>2</v>
      </c>
      <c r="AC34" s="545">
        <v>8.3333333333333329E-2</v>
      </c>
      <c r="AD34" s="268">
        <f t="shared" si="7"/>
        <v>0</v>
      </c>
      <c r="AE34" s="268">
        <f t="shared" si="8"/>
        <v>6</v>
      </c>
      <c r="AF34" s="545">
        <f t="shared" si="9"/>
        <v>0.25</v>
      </c>
      <c r="AG34" s="268">
        <f t="shared" si="13"/>
        <v>1</v>
      </c>
    </row>
    <row r="35" spans="1:33" x14ac:dyDescent="0.3">
      <c r="A35" s="549"/>
      <c r="C35" s="547"/>
      <c r="F35" s="547"/>
      <c r="P35" s="268">
        <v>33</v>
      </c>
      <c r="Q35" s="268" t="s">
        <v>183</v>
      </c>
      <c r="R35" s="268">
        <f t="shared" ref="R35:R54" si="14">INDEX(AB$3:AB$54,MATCH($Q35,$AA$3:$AA$54,0))</f>
        <v>3</v>
      </c>
      <c r="S35" s="545">
        <f t="shared" ref="S35:S54" si="15">INDEX(AC$3:AC$54,MATCH($Q35,$AA$3:$AA$54,0))</f>
        <v>0.125</v>
      </c>
      <c r="T35" s="268">
        <f t="shared" ref="T35:T54" si="16">INDEX(AD$3:AD$54,MATCH($Q35,$AA$3:$AA$54,0))</f>
        <v>0</v>
      </c>
      <c r="U35" s="268">
        <f t="shared" ref="U35:U54" si="17">INDEX(AE$3:AE$54,MATCH($Q35,$AA$3:$AA$54,0))</f>
        <v>7</v>
      </c>
      <c r="V35" s="545">
        <f t="shared" ref="V35:V54" si="18">INDEX(AF$3:AF$54,MATCH($Q35,$AA$3:$AA$54,0))</f>
        <v>0.29166666666666669</v>
      </c>
      <c r="W35" s="268">
        <f t="shared" ref="W35:W54" si="19">INDEX(AG$3:AG$54,MATCH($Q35,$AA$3:$AA$54,0))</f>
        <v>1</v>
      </c>
      <c r="Z35" s="268">
        <v>33</v>
      </c>
      <c r="AA35" s="268" t="s">
        <v>183</v>
      </c>
      <c r="AB35" s="268">
        <v>3</v>
      </c>
      <c r="AC35" s="545">
        <v>0.125</v>
      </c>
      <c r="AD35" s="268">
        <f t="shared" si="7"/>
        <v>0</v>
      </c>
      <c r="AE35" s="268">
        <f t="shared" si="8"/>
        <v>7</v>
      </c>
      <c r="AF35" s="545">
        <f t="shared" si="9"/>
        <v>0.29166666666666669</v>
      </c>
      <c r="AG35" s="268">
        <f t="shared" si="13"/>
        <v>1</v>
      </c>
    </row>
    <row r="36" spans="1:33" x14ac:dyDescent="0.3">
      <c r="A36" s="550" t="s">
        <v>114</v>
      </c>
      <c r="C36" s="547"/>
      <c r="F36" s="547"/>
      <c r="P36" s="268">
        <v>34</v>
      </c>
      <c r="Q36" s="268" t="s">
        <v>361</v>
      </c>
      <c r="R36" s="268">
        <f t="shared" si="14"/>
        <v>3.5</v>
      </c>
      <c r="S36" s="545">
        <f t="shared" si="15"/>
        <v>0.14583333333333334</v>
      </c>
      <c r="T36" s="268">
        <f t="shared" si="16"/>
        <v>0</v>
      </c>
      <c r="U36" s="268">
        <f t="shared" si="17"/>
        <v>7.5</v>
      </c>
      <c r="V36" s="545">
        <f t="shared" si="18"/>
        <v>0.3125</v>
      </c>
      <c r="W36" s="268">
        <f t="shared" si="19"/>
        <v>1</v>
      </c>
      <c r="Z36" s="268">
        <v>34</v>
      </c>
      <c r="AA36" s="268" t="s">
        <v>361</v>
      </c>
      <c r="AB36" s="268">
        <v>3.5</v>
      </c>
      <c r="AC36" s="545">
        <v>0.14583333333333334</v>
      </c>
      <c r="AD36" s="268">
        <f t="shared" si="7"/>
        <v>0</v>
      </c>
      <c r="AE36" s="268">
        <f t="shared" si="8"/>
        <v>7.5</v>
      </c>
      <c r="AF36" s="545">
        <f t="shared" si="9"/>
        <v>0.3125</v>
      </c>
      <c r="AG36" s="268">
        <f t="shared" si="13"/>
        <v>1</v>
      </c>
    </row>
    <row r="37" spans="1:33" x14ac:dyDescent="0.3">
      <c r="A37" s="551">
        <v>45477.875</v>
      </c>
      <c r="C37" s="547" cm="1">
        <f t="array" ref="C37">A37+INDEX($V$3:V$54,$C$3)*INDEX($W$3:$W$54,$C$3)</f>
        <v>45478.083333333336</v>
      </c>
      <c r="E37" s="268">
        <v>-5</v>
      </c>
      <c r="F37" s="547"/>
      <c r="P37" s="268">
        <v>35</v>
      </c>
      <c r="Q37" s="268" t="s">
        <v>184</v>
      </c>
      <c r="R37" s="268">
        <f t="shared" si="14"/>
        <v>4</v>
      </c>
      <c r="S37" s="545">
        <f t="shared" si="15"/>
        <v>0.16666666666666666</v>
      </c>
      <c r="T37" s="268">
        <f t="shared" si="16"/>
        <v>0</v>
      </c>
      <c r="U37" s="268">
        <f t="shared" si="17"/>
        <v>8</v>
      </c>
      <c r="V37" s="545">
        <f t="shared" si="18"/>
        <v>0.33333333333333331</v>
      </c>
      <c r="W37" s="268">
        <f t="shared" si="19"/>
        <v>1</v>
      </c>
      <c r="Z37" s="268">
        <v>35</v>
      </c>
      <c r="AA37" s="268" t="s">
        <v>184</v>
      </c>
      <c r="AB37" s="268">
        <v>4</v>
      </c>
      <c r="AC37" s="545">
        <v>0.16666666666666666</v>
      </c>
      <c r="AD37" s="268">
        <f t="shared" si="7"/>
        <v>0</v>
      </c>
      <c r="AE37" s="268">
        <f t="shared" si="8"/>
        <v>8</v>
      </c>
      <c r="AF37" s="545">
        <f t="shared" si="9"/>
        <v>0.33333333333333331</v>
      </c>
      <c r="AG37" s="268">
        <f t="shared" si="13"/>
        <v>1</v>
      </c>
    </row>
    <row r="38" spans="1:33" x14ac:dyDescent="0.3">
      <c r="A38" s="551">
        <v>45478.875</v>
      </c>
      <c r="C38" s="547" cm="1">
        <f t="array" ref="C38">A38+INDEX($V$3:V$54,$C$3)*INDEX($W$3:$W$54,$C$3)</f>
        <v>45479.083333333336</v>
      </c>
      <c r="E38" s="268">
        <v>-5</v>
      </c>
      <c r="F38" s="547"/>
      <c r="P38" s="268">
        <v>36</v>
      </c>
      <c r="Q38" s="268" t="s">
        <v>362</v>
      </c>
      <c r="R38" s="268">
        <f t="shared" si="14"/>
        <v>4.5</v>
      </c>
      <c r="S38" s="545">
        <f t="shared" si="15"/>
        <v>0.1875</v>
      </c>
      <c r="T38" s="268">
        <f t="shared" si="16"/>
        <v>0</v>
      </c>
      <c r="U38" s="268">
        <f t="shared" si="17"/>
        <v>8.5</v>
      </c>
      <c r="V38" s="545">
        <f t="shared" si="18"/>
        <v>0.35416666666666669</v>
      </c>
      <c r="W38" s="268">
        <f t="shared" si="19"/>
        <v>1</v>
      </c>
      <c r="Z38" s="268">
        <v>36</v>
      </c>
      <c r="AA38" s="268" t="s">
        <v>362</v>
      </c>
      <c r="AB38" s="268">
        <v>4.5</v>
      </c>
      <c r="AC38" s="545">
        <v>0.1875</v>
      </c>
      <c r="AD38" s="268">
        <f t="shared" si="7"/>
        <v>0</v>
      </c>
      <c r="AE38" s="268">
        <f t="shared" si="8"/>
        <v>8.5</v>
      </c>
      <c r="AF38" s="545">
        <f t="shared" si="9"/>
        <v>0.35416666666666669</v>
      </c>
      <c r="AG38" s="268">
        <f t="shared" si="13"/>
        <v>1</v>
      </c>
    </row>
    <row r="39" spans="1:33" x14ac:dyDescent="0.3">
      <c r="A39" s="546">
        <v>45479.75</v>
      </c>
      <c r="C39" s="547" cm="1">
        <f t="array" ref="C39">A39+INDEX($V$3:V$54,$C$3)*INDEX($W$3:$W$54,$C$3)</f>
        <v>45479.958333333336</v>
      </c>
      <c r="E39" s="268">
        <v>-7</v>
      </c>
      <c r="F39" s="547"/>
      <c r="P39" s="268">
        <v>37</v>
      </c>
      <c r="Q39" s="268" t="s">
        <v>185</v>
      </c>
      <c r="R39" s="268">
        <f t="shared" si="14"/>
        <v>5</v>
      </c>
      <c r="S39" s="545">
        <f t="shared" si="15"/>
        <v>0.20833333333333334</v>
      </c>
      <c r="T39" s="268">
        <f t="shared" si="16"/>
        <v>0</v>
      </c>
      <c r="U39" s="268">
        <f t="shared" si="17"/>
        <v>9</v>
      </c>
      <c r="V39" s="545">
        <f t="shared" si="18"/>
        <v>0.375</v>
      </c>
      <c r="W39" s="268">
        <f t="shared" si="19"/>
        <v>1</v>
      </c>
      <c r="Z39" s="268">
        <v>37</v>
      </c>
      <c r="AA39" s="268" t="s">
        <v>185</v>
      </c>
      <c r="AB39" s="268">
        <v>5</v>
      </c>
      <c r="AC39" s="545">
        <v>0.20833333333333334</v>
      </c>
      <c r="AD39" s="268">
        <f t="shared" si="7"/>
        <v>0</v>
      </c>
      <c r="AE39" s="268">
        <f t="shared" si="8"/>
        <v>9</v>
      </c>
      <c r="AF39" s="545">
        <f t="shared" si="9"/>
        <v>0.375</v>
      </c>
      <c r="AG39" s="268">
        <f t="shared" si="13"/>
        <v>1</v>
      </c>
    </row>
    <row r="40" spans="1:33" x14ac:dyDescent="0.3">
      <c r="A40" s="546">
        <v>45479.875</v>
      </c>
      <c r="C40" s="547" cm="1">
        <f t="array" ref="C40">A40+INDEX($V$3:V$54,$C$3)*INDEX($W$3:$W$54,$C$3)</f>
        <v>45480.083333333336</v>
      </c>
      <c r="E40" s="268">
        <v>-7</v>
      </c>
      <c r="F40" s="547"/>
      <c r="P40" s="268">
        <v>38</v>
      </c>
      <c r="Q40" s="268" t="s">
        <v>363</v>
      </c>
      <c r="R40" s="268">
        <f t="shared" si="14"/>
        <v>5.5</v>
      </c>
      <c r="S40" s="545">
        <f t="shared" si="15"/>
        <v>0.22916666666666666</v>
      </c>
      <c r="T40" s="268">
        <f t="shared" si="16"/>
        <v>0</v>
      </c>
      <c r="U40" s="268">
        <f t="shared" si="17"/>
        <v>9.5</v>
      </c>
      <c r="V40" s="545">
        <f t="shared" si="18"/>
        <v>0.39583333333333331</v>
      </c>
      <c r="W40" s="268">
        <f t="shared" si="19"/>
        <v>1</v>
      </c>
      <c r="Z40" s="268">
        <v>38</v>
      </c>
      <c r="AA40" s="268" t="s">
        <v>363</v>
      </c>
      <c r="AB40" s="268">
        <v>5.5</v>
      </c>
      <c r="AC40" s="545">
        <v>0.22916666666666666</v>
      </c>
      <c r="AD40" s="268">
        <f t="shared" si="7"/>
        <v>0</v>
      </c>
      <c r="AE40" s="268">
        <f t="shared" si="8"/>
        <v>9.5</v>
      </c>
      <c r="AF40" s="545">
        <f t="shared" si="9"/>
        <v>0.39583333333333331</v>
      </c>
      <c r="AG40" s="268">
        <f t="shared" si="13"/>
        <v>1</v>
      </c>
    </row>
    <row r="41" spans="1:33" x14ac:dyDescent="0.3">
      <c r="C41" s="547"/>
      <c r="F41" s="547"/>
      <c r="P41" s="268">
        <v>39</v>
      </c>
      <c r="Q41" s="268" t="s">
        <v>364</v>
      </c>
      <c r="R41" s="268">
        <f t="shared" si="14"/>
        <v>5.75</v>
      </c>
      <c r="S41" s="545">
        <f t="shared" si="15"/>
        <v>0.23958333333333334</v>
      </c>
      <c r="T41" s="268">
        <f t="shared" si="16"/>
        <v>0</v>
      </c>
      <c r="U41" s="268">
        <f t="shared" si="17"/>
        <v>9.75</v>
      </c>
      <c r="V41" s="545">
        <f t="shared" si="18"/>
        <v>0.40625</v>
      </c>
      <c r="W41" s="268">
        <f t="shared" si="19"/>
        <v>1</v>
      </c>
      <c r="Z41" s="268">
        <v>39</v>
      </c>
      <c r="AA41" s="268" t="s">
        <v>364</v>
      </c>
      <c r="AB41" s="268">
        <v>5.75</v>
      </c>
      <c r="AC41" s="545">
        <v>0.23958333333333334</v>
      </c>
      <c r="AD41" s="268">
        <f t="shared" si="7"/>
        <v>0</v>
      </c>
      <c r="AE41" s="268">
        <f t="shared" si="8"/>
        <v>9.75</v>
      </c>
      <c r="AF41" s="545">
        <f t="shared" si="9"/>
        <v>0.40625</v>
      </c>
      <c r="AG41" s="268">
        <f t="shared" si="13"/>
        <v>1</v>
      </c>
    </row>
    <row r="42" spans="1:33" x14ac:dyDescent="0.3">
      <c r="A42" s="552" t="s">
        <v>74</v>
      </c>
      <c r="C42" s="547"/>
      <c r="F42" s="547"/>
      <c r="P42" s="268">
        <v>40</v>
      </c>
      <c r="Q42" s="268" t="s">
        <v>186</v>
      </c>
      <c r="R42" s="268">
        <f t="shared" si="14"/>
        <v>6</v>
      </c>
      <c r="S42" s="545">
        <f t="shared" si="15"/>
        <v>0.25</v>
      </c>
      <c r="T42" s="268">
        <f t="shared" si="16"/>
        <v>0</v>
      </c>
      <c r="U42" s="268">
        <f t="shared" si="17"/>
        <v>10</v>
      </c>
      <c r="V42" s="545">
        <f t="shared" si="18"/>
        <v>0.41666666666666669</v>
      </c>
      <c r="W42" s="268">
        <f t="shared" si="19"/>
        <v>1</v>
      </c>
      <c r="Z42" s="268">
        <v>40</v>
      </c>
      <c r="AA42" s="268" t="s">
        <v>186</v>
      </c>
      <c r="AB42" s="268">
        <v>6</v>
      </c>
      <c r="AC42" s="545">
        <v>0.25</v>
      </c>
      <c r="AD42" s="268">
        <f t="shared" si="7"/>
        <v>0</v>
      </c>
      <c r="AE42" s="268">
        <f t="shared" si="8"/>
        <v>10</v>
      </c>
      <c r="AF42" s="545">
        <f t="shared" si="9"/>
        <v>0.41666666666666669</v>
      </c>
      <c r="AG42" s="268">
        <f t="shared" si="13"/>
        <v>1</v>
      </c>
    </row>
    <row r="43" spans="1:33" x14ac:dyDescent="0.3">
      <c r="A43" s="551">
        <v>45482.833333333336</v>
      </c>
      <c r="C43" s="547" cm="1">
        <f t="array" ref="C43">A43+INDEX($V$3:V$54,$C$3)*INDEX($W$3:$W$54,$C$3)</f>
        <v>45483.041666666672</v>
      </c>
      <c r="E43" s="268">
        <v>-4</v>
      </c>
      <c r="F43" s="547"/>
      <c r="P43" s="268">
        <v>41</v>
      </c>
      <c r="Q43" s="268" t="s">
        <v>365</v>
      </c>
      <c r="R43" s="268">
        <f t="shared" si="14"/>
        <v>6.5</v>
      </c>
      <c r="S43" s="545">
        <f t="shared" si="15"/>
        <v>0.27083333333333331</v>
      </c>
      <c r="T43" s="268">
        <f t="shared" si="16"/>
        <v>0</v>
      </c>
      <c r="U43" s="268">
        <f t="shared" si="17"/>
        <v>10.5</v>
      </c>
      <c r="V43" s="545">
        <f t="shared" si="18"/>
        <v>0.4375</v>
      </c>
      <c r="W43" s="268">
        <f t="shared" si="19"/>
        <v>1</v>
      </c>
      <c r="Z43" s="268">
        <v>41</v>
      </c>
      <c r="AA43" s="268" t="s">
        <v>365</v>
      </c>
      <c r="AB43" s="268">
        <v>6.5</v>
      </c>
      <c r="AC43" s="545">
        <v>0.27083333333333331</v>
      </c>
      <c r="AD43" s="268">
        <f t="shared" si="7"/>
        <v>0</v>
      </c>
      <c r="AE43" s="268">
        <f t="shared" si="8"/>
        <v>10.5</v>
      </c>
      <c r="AF43" s="545">
        <f t="shared" si="9"/>
        <v>0.4375</v>
      </c>
      <c r="AG43" s="268">
        <f t="shared" si="13"/>
        <v>1</v>
      </c>
    </row>
    <row r="44" spans="1:33" x14ac:dyDescent="0.3">
      <c r="A44" s="551">
        <v>45483.833333333336</v>
      </c>
      <c r="C44" s="547" cm="1">
        <f t="array" ref="C44">A44+INDEX($V$3:V$54,$C$3)*INDEX($W$3:$W$54,$C$3)</f>
        <v>45484.041666666672</v>
      </c>
      <c r="E44" s="268">
        <v>-4</v>
      </c>
      <c r="F44" s="547"/>
      <c r="P44" s="268">
        <v>42</v>
      </c>
      <c r="Q44" s="268" t="s">
        <v>187</v>
      </c>
      <c r="R44" s="268">
        <f t="shared" si="14"/>
        <v>7</v>
      </c>
      <c r="S44" s="545">
        <f t="shared" si="15"/>
        <v>0.29166666666666669</v>
      </c>
      <c r="T44" s="268">
        <f t="shared" si="16"/>
        <v>0</v>
      </c>
      <c r="U44" s="268">
        <f t="shared" si="17"/>
        <v>11</v>
      </c>
      <c r="V44" s="545">
        <f t="shared" si="18"/>
        <v>0.45833333333333331</v>
      </c>
      <c r="W44" s="268">
        <f t="shared" si="19"/>
        <v>1</v>
      </c>
      <c r="Z44" s="268">
        <v>42</v>
      </c>
      <c r="AA44" s="268" t="s">
        <v>187</v>
      </c>
      <c r="AB44" s="268">
        <v>7</v>
      </c>
      <c r="AC44" s="545">
        <v>0.29166666666666669</v>
      </c>
      <c r="AD44" s="268">
        <f t="shared" si="7"/>
        <v>0</v>
      </c>
      <c r="AE44" s="268">
        <f t="shared" si="8"/>
        <v>11</v>
      </c>
      <c r="AF44" s="545">
        <f t="shared" si="9"/>
        <v>0.45833333333333331</v>
      </c>
      <c r="AG44" s="268">
        <f t="shared" si="13"/>
        <v>1</v>
      </c>
    </row>
    <row r="45" spans="1:33" x14ac:dyDescent="0.3">
      <c r="C45" s="547"/>
      <c r="F45" s="547"/>
      <c r="P45" s="268">
        <v>43</v>
      </c>
      <c r="Q45" s="268" t="s">
        <v>188</v>
      </c>
      <c r="R45" s="268">
        <f t="shared" si="14"/>
        <v>8</v>
      </c>
      <c r="S45" s="545">
        <f t="shared" si="15"/>
        <v>0.33333333333333298</v>
      </c>
      <c r="T45" s="268">
        <f t="shared" si="16"/>
        <v>0</v>
      </c>
      <c r="U45" s="268">
        <f t="shared" si="17"/>
        <v>12</v>
      </c>
      <c r="V45" s="545">
        <f t="shared" si="18"/>
        <v>0.5</v>
      </c>
      <c r="W45" s="268">
        <f t="shared" si="19"/>
        <v>1</v>
      </c>
      <c r="Z45" s="268">
        <v>43</v>
      </c>
      <c r="AA45" s="268" t="s">
        <v>188</v>
      </c>
      <c r="AB45" s="268">
        <v>8</v>
      </c>
      <c r="AC45" s="545">
        <v>0.33333333333333298</v>
      </c>
      <c r="AD45" s="268">
        <f t="shared" si="7"/>
        <v>0</v>
      </c>
      <c r="AE45" s="268">
        <f t="shared" si="8"/>
        <v>12</v>
      </c>
      <c r="AF45" s="545">
        <f t="shared" si="9"/>
        <v>0.5</v>
      </c>
      <c r="AG45" s="268">
        <f t="shared" si="13"/>
        <v>1</v>
      </c>
    </row>
    <row r="46" spans="1:33" x14ac:dyDescent="0.3">
      <c r="A46" s="553" t="s">
        <v>469</v>
      </c>
      <c r="C46" s="547"/>
      <c r="F46" s="547"/>
      <c r="P46" s="268">
        <v>44</v>
      </c>
      <c r="Q46" s="268" t="s">
        <v>189</v>
      </c>
      <c r="R46" s="268">
        <f t="shared" si="14"/>
        <v>9</v>
      </c>
      <c r="S46" s="545">
        <f t="shared" si="15"/>
        <v>0.375</v>
      </c>
      <c r="T46" s="268">
        <f t="shared" si="16"/>
        <v>0</v>
      </c>
      <c r="U46" s="268">
        <f t="shared" si="17"/>
        <v>13</v>
      </c>
      <c r="V46" s="545">
        <f t="shared" si="18"/>
        <v>0.54166666666666663</v>
      </c>
      <c r="W46" s="268">
        <f t="shared" si="19"/>
        <v>1</v>
      </c>
      <c r="Z46" s="268">
        <v>44</v>
      </c>
      <c r="AA46" s="268" t="s">
        <v>189</v>
      </c>
      <c r="AB46" s="268">
        <v>9</v>
      </c>
      <c r="AC46" s="545">
        <v>0.375</v>
      </c>
      <c r="AD46" s="268">
        <f t="shared" si="7"/>
        <v>0</v>
      </c>
      <c r="AE46" s="268">
        <f t="shared" si="8"/>
        <v>13</v>
      </c>
      <c r="AF46" s="545">
        <f t="shared" si="9"/>
        <v>0.54166666666666663</v>
      </c>
      <c r="AG46" s="268">
        <f t="shared" si="13"/>
        <v>1</v>
      </c>
    </row>
    <row r="47" spans="1:33" x14ac:dyDescent="0.3">
      <c r="A47" s="551">
        <v>45486.833333333336</v>
      </c>
      <c r="C47" s="547" cm="1">
        <f t="array" ref="C47">A47+INDEX($V$3:V$54,$C$3)*INDEX($W$3:$W$54,$C$3)</f>
        <v>45487.041666666672</v>
      </c>
      <c r="E47" s="268">
        <v>-4</v>
      </c>
      <c r="F47" s="547"/>
      <c r="P47" s="268">
        <v>45</v>
      </c>
      <c r="Q47" s="268" t="s">
        <v>366</v>
      </c>
      <c r="R47" s="268">
        <f t="shared" si="14"/>
        <v>9.5</v>
      </c>
      <c r="S47" s="545">
        <f t="shared" si="15"/>
        <v>0.39583333333333331</v>
      </c>
      <c r="T47" s="268">
        <f t="shared" si="16"/>
        <v>0</v>
      </c>
      <c r="U47" s="268">
        <f t="shared" si="17"/>
        <v>13.5</v>
      </c>
      <c r="V47" s="545">
        <f t="shared" si="18"/>
        <v>0.5625</v>
      </c>
      <c r="W47" s="268">
        <f t="shared" si="19"/>
        <v>1</v>
      </c>
      <c r="Z47" s="268">
        <v>45</v>
      </c>
      <c r="AA47" s="268" t="s">
        <v>366</v>
      </c>
      <c r="AB47" s="268">
        <v>9.5</v>
      </c>
      <c r="AC47" s="545">
        <v>0.39583333333333331</v>
      </c>
      <c r="AD47" s="268">
        <f t="shared" si="7"/>
        <v>0</v>
      </c>
      <c r="AE47" s="268">
        <f t="shared" si="8"/>
        <v>13.5</v>
      </c>
      <c r="AF47" s="545">
        <f t="shared" si="9"/>
        <v>0.5625</v>
      </c>
      <c r="AG47" s="268">
        <f t="shared" si="13"/>
        <v>1</v>
      </c>
    </row>
    <row r="48" spans="1:33" x14ac:dyDescent="0.3">
      <c r="A48" s="546"/>
      <c r="C48" s="547"/>
      <c r="F48" s="547"/>
      <c r="P48" s="268">
        <v>46</v>
      </c>
      <c r="Q48" s="268" t="s">
        <v>190</v>
      </c>
      <c r="R48" s="268">
        <f t="shared" si="14"/>
        <v>10</v>
      </c>
      <c r="S48" s="545">
        <f t="shared" si="15"/>
        <v>0.41666666666666669</v>
      </c>
      <c r="T48" s="268">
        <f t="shared" si="16"/>
        <v>0</v>
      </c>
      <c r="U48" s="268">
        <f t="shared" si="17"/>
        <v>14</v>
      </c>
      <c r="V48" s="545">
        <f t="shared" si="18"/>
        <v>0.58333333333333337</v>
      </c>
      <c r="W48" s="268">
        <f t="shared" si="19"/>
        <v>1</v>
      </c>
      <c r="Z48" s="268">
        <v>46</v>
      </c>
      <c r="AA48" s="268" t="s">
        <v>190</v>
      </c>
      <c r="AB48" s="268">
        <v>10</v>
      </c>
      <c r="AC48" s="545">
        <v>0.41666666666666669</v>
      </c>
      <c r="AD48" s="268">
        <f t="shared" si="7"/>
        <v>0</v>
      </c>
      <c r="AE48" s="268">
        <f t="shared" si="8"/>
        <v>14</v>
      </c>
      <c r="AF48" s="545">
        <f t="shared" si="9"/>
        <v>0.58333333333333337</v>
      </c>
      <c r="AG48" s="268">
        <f t="shared" si="13"/>
        <v>1</v>
      </c>
    </row>
    <row r="49" spans="1:33" x14ac:dyDescent="0.3">
      <c r="A49" s="553" t="s">
        <v>4</v>
      </c>
      <c r="C49" s="547"/>
      <c r="F49" s="547"/>
      <c r="P49" s="268">
        <v>47</v>
      </c>
      <c r="Q49" s="268" t="s">
        <v>367</v>
      </c>
      <c r="R49" s="268">
        <f t="shared" si="14"/>
        <v>10.5</v>
      </c>
      <c r="S49" s="545">
        <f t="shared" si="15"/>
        <v>0.4375</v>
      </c>
      <c r="T49" s="268">
        <f t="shared" si="16"/>
        <v>0</v>
      </c>
      <c r="U49" s="268">
        <f t="shared" si="17"/>
        <v>14.5</v>
      </c>
      <c r="V49" s="545">
        <f t="shared" si="18"/>
        <v>0.60416666666666663</v>
      </c>
      <c r="W49" s="268">
        <f t="shared" si="19"/>
        <v>1</v>
      </c>
      <c r="Z49" s="268">
        <v>47</v>
      </c>
      <c r="AA49" s="268" t="s">
        <v>367</v>
      </c>
      <c r="AB49" s="268">
        <v>10.5</v>
      </c>
      <c r="AC49" s="545">
        <v>0.4375</v>
      </c>
      <c r="AD49" s="268">
        <f t="shared" si="7"/>
        <v>0</v>
      </c>
      <c r="AE49" s="268">
        <f t="shared" si="8"/>
        <v>14.5</v>
      </c>
      <c r="AF49" s="545">
        <f t="shared" si="9"/>
        <v>0.60416666666666663</v>
      </c>
      <c r="AG49" s="268">
        <f t="shared" si="13"/>
        <v>1</v>
      </c>
    </row>
    <row r="50" spans="1:33" x14ac:dyDescent="0.3">
      <c r="A50" s="551">
        <v>45487.833333333336</v>
      </c>
      <c r="C50" s="547" cm="1">
        <f t="array" ref="C50">A50+INDEX($V$3:V$54,$C$3)*INDEX($W$3:$W$54,$C$3)</f>
        <v>45488.041666666672</v>
      </c>
      <c r="E50" s="268">
        <v>-4</v>
      </c>
      <c r="F50" s="547"/>
      <c r="P50" s="268">
        <v>48</v>
      </c>
      <c r="Q50" s="268" t="s">
        <v>191</v>
      </c>
      <c r="R50" s="268">
        <f t="shared" si="14"/>
        <v>11</v>
      </c>
      <c r="S50" s="545">
        <f t="shared" si="15"/>
        <v>0.45833333333333331</v>
      </c>
      <c r="T50" s="268">
        <f t="shared" si="16"/>
        <v>0</v>
      </c>
      <c r="U50" s="268">
        <f t="shared" si="17"/>
        <v>15</v>
      </c>
      <c r="V50" s="545">
        <f t="shared" si="18"/>
        <v>0.625</v>
      </c>
      <c r="W50" s="268">
        <f t="shared" si="19"/>
        <v>1</v>
      </c>
      <c r="Z50" s="268">
        <v>48</v>
      </c>
      <c r="AA50" s="268" t="s">
        <v>191</v>
      </c>
      <c r="AB50" s="268">
        <v>11</v>
      </c>
      <c r="AC50" s="545">
        <v>0.45833333333333331</v>
      </c>
      <c r="AD50" s="268">
        <f t="shared" si="7"/>
        <v>0</v>
      </c>
      <c r="AE50" s="268">
        <f t="shared" si="8"/>
        <v>15</v>
      </c>
      <c r="AF50" s="545">
        <f t="shared" si="9"/>
        <v>0.625</v>
      </c>
      <c r="AG50" s="268">
        <f t="shared" si="13"/>
        <v>1</v>
      </c>
    </row>
    <row r="51" spans="1:33" x14ac:dyDescent="0.3">
      <c r="P51" s="268">
        <v>49</v>
      </c>
      <c r="Q51" s="268" t="s">
        <v>192</v>
      </c>
      <c r="R51" s="268">
        <f t="shared" si="14"/>
        <v>12</v>
      </c>
      <c r="S51" s="545">
        <f t="shared" si="15"/>
        <v>0.5</v>
      </c>
      <c r="T51" s="268">
        <f t="shared" si="16"/>
        <v>0</v>
      </c>
      <c r="U51" s="268">
        <f t="shared" si="17"/>
        <v>16</v>
      </c>
      <c r="V51" s="545">
        <f t="shared" si="18"/>
        <v>0.66666666666666663</v>
      </c>
      <c r="W51" s="268">
        <f t="shared" si="19"/>
        <v>1</v>
      </c>
      <c r="Z51" s="268">
        <v>49</v>
      </c>
      <c r="AA51" s="268" t="s">
        <v>192</v>
      </c>
      <c r="AB51" s="268">
        <v>12</v>
      </c>
      <c r="AC51" s="545">
        <v>0.5</v>
      </c>
      <c r="AD51" s="268">
        <f t="shared" si="7"/>
        <v>0</v>
      </c>
      <c r="AE51" s="268">
        <f t="shared" si="8"/>
        <v>16</v>
      </c>
      <c r="AF51" s="545">
        <f t="shared" si="9"/>
        <v>0.66666666666666663</v>
      </c>
      <c r="AG51" s="268">
        <f t="shared" si="13"/>
        <v>1</v>
      </c>
    </row>
    <row r="52" spans="1:33" x14ac:dyDescent="0.3">
      <c r="P52" s="268">
        <v>50</v>
      </c>
      <c r="Q52" s="268" t="s">
        <v>368</v>
      </c>
      <c r="R52" s="268">
        <f t="shared" si="14"/>
        <v>12.75</v>
      </c>
      <c r="S52" s="545">
        <f t="shared" si="15"/>
        <v>0.53125</v>
      </c>
      <c r="T52" s="268">
        <f t="shared" si="16"/>
        <v>0</v>
      </c>
      <c r="U52" s="268">
        <f t="shared" si="17"/>
        <v>16.75</v>
      </c>
      <c r="V52" s="545">
        <f t="shared" si="18"/>
        <v>0.69791666666666663</v>
      </c>
      <c r="W52" s="268">
        <f t="shared" si="19"/>
        <v>1</v>
      </c>
      <c r="Z52" s="268">
        <v>50</v>
      </c>
      <c r="AA52" s="268" t="s">
        <v>368</v>
      </c>
      <c r="AB52" s="268">
        <v>12.75</v>
      </c>
      <c r="AC52" s="545">
        <v>0.53125</v>
      </c>
      <c r="AD52" s="268">
        <f t="shared" si="7"/>
        <v>0</v>
      </c>
      <c r="AE52" s="268">
        <f t="shared" si="8"/>
        <v>16.75</v>
      </c>
      <c r="AF52" s="545">
        <f t="shared" si="9"/>
        <v>0.69791666666666663</v>
      </c>
      <c r="AG52" s="268">
        <f t="shared" si="13"/>
        <v>1</v>
      </c>
    </row>
    <row r="53" spans="1:33" x14ac:dyDescent="0.3">
      <c r="P53" s="268">
        <v>51</v>
      </c>
      <c r="Q53" s="268" t="s">
        <v>369</v>
      </c>
      <c r="R53" s="268">
        <f t="shared" si="14"/>
        <v>13</v>
      </c>
      <c r="S53" s="545">
        <f t="shared" si="15"/>
        <v>0.54166666666666663</v>
      </c>
      <c r="T53" s="268">
        <f t="shared" si="16"/>
        <v>0</v>
      </c>
      <c r="U53" s="268">
        <f t="shared" si="17"/>
        <v>17</v>
      </c>
      <c r="V53" s="545">
        <f t="shared" si="18"/>
        <v>0.70833333333333337</v>
      </c>
      <c r="W53" s="268">
        <f t="shared" si="19"/>
        <v>1</v>
      </c>
      <c r="Z53" s="268">
        <v>51</v>
      </c>
      <c r="AA53" s="268" t="s">
        <v>369</v>
      </c>
      <c r="AB53" s="268">
        <v>13</v>
      </c>
      <c r="AC53" s="545">
        <v>0.54166666666666663</v>
      </c>
      <c r="AD53" s="268">
        <f t="shared" si="7"/>
        <v>0</v>
      </c>
      <c r="AE53" s="268">
        <f t="shared" si="8"/>
        <v>17</v>
      </c>
      <c r="AF53" s="545">
        <f t="shared" si="9"/>
        <v>0.70833333333333337</v>
      </c>
      <c r="AG53" s="268">
        <f t="shared" si="13"/>
        <v>1</v>
      </c>
    </row>
    <row r="54" spans="1:33" x14ac:dyDescent="0.3">
      <c r="P54" s="268">
        <v>52</v>
      </c>
      <c r="Q54" s="268" t="s">
        <v>370</v>
      </c>
      <c r="R54" s="268">
        <f t="shared" si="14"/>
        <v>14</v>
      </c>
      <c r="S54" s="545">
        <f t="shared" si="15"/>
        <v>0.58333333333333337</v>
      </c>
      <c r="T54" s="268">
        <f t="shared" si="16"/>
        <v>0</v>
      </c>
      <c r="U54" s="268">
        <f t="shared" si="17"/>
        <v>18</v>
      </c>
      <c r="V54" s="545">
        <f t="shared" si="18"/>
        <v>0.75</v>
      </c>
      <c r="W54" s="268">
        <f t="shared" si="19"/>
        <v>1</v>
      </c>
      <c r="Z54" s="268">
        <v>52</v>
      </c>
      <c r="AA54" s="268" t="s">
        <v>370</v>
      </c>
      <c r="AB54" s="268">
        <v>14</v>
      </c>
      <c r="AC54" s="545">
        <v>0.58333333333333337</v>
      </c>
      <c r="AD54" s="268">
        <f t="shared" si="7"/>
        <v>0</v>
      </c>
      <c r="AE54" s="268">
        <f t="shared" si="8"/>
        <v>18</v>
      </c>
      <c r="AF54" s="545">
        <f t="shared" si="9"/>
        <v>0.75</v>
      </c>
      <c r="AG54" s="268">
        <f t="shared" si="13"/>
        <v>1</v>
      </c>
    </row>
    <row r="55" spans="1:33" x14ac:dyDescent="0.3">
      <c r="S55" s="545"/>
      <c r="V55" s="545"/>
    </row>
    <row r="56" spans="1:33" x14ac:dyDescent="0.3">
      <c r="S56" s="545"/>
      <c r="V56" s="545"/>
    </row>
    <row r="57" spans="1:33" x14ac:dyDescent="0.3">
      <c r="S57" s="545"/>
      <c r="V57" s="545"/>
    </row>
    <row r="60" spans="1:33" x14ac:dyDescent="0.3">
      <c r="AC60" s="545"/>
    </row>
    <row r="61" spans="1:33" x14ac:dyDescent="0.3">
      <c r="AC61" s="545"/>
    </row>
    <row r="62" spans="1:33" x14ac:dyDescent="0.3">
      <c r="AC62" s="545"/>
    </row>
    <row r="63" spans="1:33" x14ac:dyDescent="0.3">
      <c r="AC63" s="545"/>
    </row>
    <row r="65" spans="1:3" x14ac:dyDescent="0.3">
      <c r="A65" s="551"/>
      <c r="C65" s="547"/>
    </row>
    <row r="66" spans="1:3" x14ac:dyDescent="0.3">
      <c r="A66" s="546"/>
      <c r="C66" s="547"/>
    </row>
    <row r="67" spans="1:3" x14ac:dyDescent="0.3">
      <c r="A67" s="546"/>
      <c r="C67" s="547"/>
    </row>
    <row r="68" spans="1:3" x14ac:dyDescent="0.3">
      <c r="A68" s="546"/>
      <c r="C68" s="547"/>
    </row>
    <row r="69" spans="1:3" x14ac:dyDescent="0.3">
      <c r="A69" s="551"/>
      <c r="C69" s="547"/>
    </row>
    <row r="70" spans="1:3" x14ac:dyDescent="0.3">
      <c r="A70" s="546"/>
      <c r="C70" s="547"/>
    </row>
    <row r="71" spans="1:3" x14ac:dyDescent="0.3">
      <c r="A71" s="546"/>
      <c r="C71" s="547"/>
    </row>
    <row r="72" spans="1:3" x14ac:dyDescent="0.3">
      <c r="A72" s="546"/>
      <c r="C72" s="547"/>
    </row>
    <row r="73" spans="1:3" x14ac:dyDescent="0.3">
      <c r="C73" s="547"/>
    </row>
    <row r="74" spans="1:3" x14ac:dyDescent="0.3">
      <c r="C74" s="547"/>
    </row>
  </sheetData>
  <sheetProtection algorithmName="SHA-512" hashValue="e6+OjY8OF8Cgen9kbp2rr7q9FpKVjFY7msIRg9E6tDUzYmxcJAhfEsQ9WLLgYR98DWcjk9f9GwLBKuecV8bYiw==" saltValue="7Xg3b3Olw0MWOmnQLspHCg==" spinCount="100000" sheet="1" objects="1" scenarios="1" selectLockedCells="1" selectUnlockedCells="1"/>
  <conditionalFormatting sqref="F4:F50">
    <cfRule type="duplicateValues" dxfId="0"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163"/>
  <sheetViews>
    <sheetView showGridLines="0" showRowColHeaders="0" topLeftCell="EH983" workbookViewId="0">
      <selection activeCell="EH985" sqref="EH985"/>
    </sheetView>
  </sheetViews>
  <sheetFormatPr defaultColWidth="10.77734375" defaultRowHeight="14.4" x14ac:dyDescent="0.3"/>
  <cols>
    <col min="1" max="3" width="10.77734375" style="268"/>
    <col min="4" max="4" width="46" style="268" customWidth="1"/>
    <col min="5" max="5" width="10.77734375" style="268"/>
    <col min="6" max="6" width="12.44140625" style="268" customWidth="1"/>
    <col min="7" max="7" width="17.33203125" style="268" bestFit="1" customWidth="1"/>
    <col min="8" max="8" width="22.44140625" style="268" customWidth="1"/>
    <col min="9" max="16384" width="10.77734375" style="268"/>
  </cols>
  <sheetData>
    <row r="2" spans="1:9" x14ac:dyDescent="0.3">
      <c r="A2" s="268" t="s">
        <v>250</v>
      </c>
      <c r="B2" s="268">
        <f>IF(Home!$G$7=Idiomas!A2,1,0)</f>
        <v>1</v>
      </c>
    </row>
    <row r="3" spans="1:9" ht="15" thickBot="1" x14ac:dyDescent="0.35">
      <c r="A3" s="268" t="s">
        <v>350</v>
      </c>
      <c r="B3" s="268">
        <f>IF(Home!$G$7=Idiomas!A3,1,0)</f>
        <v>0</v>
      </c>
      <c r="E3" s="268" t="s">
        <v>205</v>
      </c>
      <c r="F3" s="268" t="s">
        <v>207</v>
      </c>
      <c r="G3" s="268" t="s">
        <v>250</v>
      </c>
      <c r="H3" s="268" t="s">
        <v>215</v>
      </c>
      <c r="I3" s="268" t="s">
        <v>519</v>
      </c>
    </row>
    <row r="4" spans="1:9" x14ac:dyDescent="0.3">
      <c r="A4" s="268" t="s">
        <v>589</v>
      </c>
      <c r="B4" s="268">
        <f>IF(Home!$G$7=Idiomas!A4,1,0)</f>
        <v>0</v>
      </c>
      <c r="D4" s="599" t="str">
        <f>IF($B$2,G4,IF($B$3,H4,IF($B$4,I4,G4)))</f>
        <v>Introducir resultados</v>
      </c>
      <c r="E4" s="600" t="s">
        <v>42</v>
      </c>
      <c r="F4" s="600" t="s">
        <v>208</v>
      </c>
      <c r="G4" s="600" t="s">
        <v>206</v>
      </c>
      <c r="H4" s="600" t="s">
        <v>218</v>
      </c>
      <c r="I4" s="601" t="s">
        <v>521</v>
      </c>
    </row>
    <row r="5" spans="1:9" x14ac:dyDescent="0.3">
      <c r="D5" s="602" t="str">
        <f t="shared" ref="D5:D68" si="0">IF($B$2,G5,IF($B$3,H5,IF($B$4,I5,G5)))</f>
        <v>Si quieres organizar una quiniela con tu grupo puedes descargar el archivo para administrarla desde el enlace de abajo</v>
      </c>
      <c r="E5" s="268" t="s">
        <v>42</v>
      </c>
      <c r="F5" s="268" t="s">
        <v>209</v>
      </c>
      <c r="G5" s="268" t="s">
        <v>462</v>
      </c>
      <c r="H5" s="268" t="s">
        <v>443</v>
      </c>
      <c r="I5" s="603" t="s">
        <v>520</v>
      </c>
    </row>
    <row r="6" spans="1:9" x14ac:dyDescent="0.3">
      <c r="D6" s="602" t="str">
        <f t="shared" si="0"/>
        <v>Selecciona idioma: -&gt;</v>
      </c>
      <c r="E6" s="268" t="s">
        <v>42</v>
      </c>
      <c r="F6" s="268" t="s">
        <v>349</v>
      </c>
      <c r="G6" s="268" t="s">
        <v>351</v>
      </c>
      <c r="H6" s="268" t="s">
        <v>352</v>
      </c>
      <c r="I6" s="603" t="s">
        <v>522</v>
      </c>
    </row>
    <row r="7" spans="1:9" x14ac:dyDescent="0.3">
      <c r="D7" s="602" t="str">
        <f t="shared" si="0"/>
        <v>XLVIII Copa América 2024</v>
      </c>
      <c r="E7" s="268" t="s">
        <v>42</v>
      </c>
      <c r="F7" s="268" t="s">
        <v>353</v>
      </c>
      <c r="G7" s="268" t="s">
        <v>463</v>
      </c>
      <c r="H7" s="268" t="s">
        <v>464</v>
      </c>
      <c r="I7" s="603" t="s">
        <v>463</v>
      </c>
    </row>
    <row r="8" spans="1:9" x14ac:dyDescent="0.3">
      <c r="D8" s="602" t="str">
        <f t="shared" si="0"/>
        <v>Descargar Excel Administrador Quiniela</v>
      </c>
      <c r="E8" s="268" t="s">
        <v>42</v>
      </c>
      <c r="F8" s="268" t="s">
        <v>355</v>
      </c>
      <c r="G8" s="268" t="s">
        <v>465</v>
      </c>
      <c r="H8" s="268" t="s">
        <v>354</v>
      </c>
      <c r="I8" s="603" t="s">
        <v>523</v>
      </c>
    </row>
    <row r="9" spans="1:9" ht="15" thickBot="1" x14ac:dyDescent="0.35">
      <c r="C9" s="268" t="s">
        <v>441</v>
      </c>
      <c r="D9" s="604" t="str">
        <f t="shared" si="0"/>
        <v>https://matejero.es/download/admin-excel-copa-america-2024/?ref=esheet</v>
      </c>
      <c r="E9" s="605" t="s">
        <v>42</v>
      </c>
      <c r="F9" s="605" t="s">
        <v>442</v>
      </c>
      <c r="G9" s="606" t="s">
        <v>632</v>
      </c>
      <c r="H9" s="606" t="s">
        <v>632</v>
      </c>
      <c r="I9" s="606" t="s">
        <v>632</v>
      </c>
    </row>
    <row r="10" spans="1:9" ht="15" thickBot="1" x14ac:dyDescent="0.35"/>
    <row r="11" spans="1:9" x14ac:dyDescent="0.3">
      <c r="D11" s="599" t="str">
        <f t="shared" si="0"/>
        <v>Selecciona Horario:</v>
      </c>
      <c r="E11" s="600" t="s">
        <v>470</v>
      </c>
      <c r="F11" s="600" t="e" cm="1">
        <f t="array" aca="1" ref="F11" ca="1">CELL("direccion",'COPA AMERICA'!E1)</f>
        <v>#VALUE!</v>
      </c>
      <c r="G11" s="600" t="s">
        <v>106</v>
      </c>
      <c r="H11" s="600" t="s">
        <v>219</v>
      </c>
      <c r="I11" s="601" t="s">
        <v>524</v>
      </c>
    </row>
    <row r="12" spans="1:9" x14ac:dyDescent="0.3">
      <c r="D12" s="602" t="str">
        <f t="shared" si="0"/>
        <v>Rellenar los cuadros grises</v>
      </c>
      <c r="E12" s="268" t="s">
        <v>470</v>
      </c>
      <c r="F12" s="268" t="s">
        <v>210</v>
      </c>
      <c r="G12" s="268" t="s">
        <v>20</v>
      </c>
      <c r="H12" s="268" t="s">
        <v>277</v>
      </c>
      <c r="I12" s="603" t="s">
        <v>525</v>
      </c>
    </row>
    <row r="13" spans="1:9" x14ac:dyDescent="0.3">
      <c r="D13" s="602" t="str">
        <f t="shared" si="0"/>
        <v>Fecha</v>
      </c>
      <c r="E13" s="268" t="s">
        <v>470</v>
      </c>
      <c r="F13" s="268" t="s">
        <v>151</v>
      </c>
      <c r="G13" s="268" t="s">
        <v>12</v>
      </c>
      <c r="H13" s="268" t="s">
        <v>251</v>
      </c>
      <c r="I13" s="603" t="s">
        <v>526</v>
      </c>
    </row>
    <row r="14" spans="1:9" x14ac:dyDescent="0.3">
      <c r="D14" s="602" t="str">
        <f t="shared" si="0"/>
        <v>Hora</v>
      </c>
      <c r="E14" s="268" t="s">
        <v>470</v>
      </c>
      <c r="F14" s="268" t="s">
        <v>211</v>
      </c>
      <c r="G14" s="268" t="s">
        <v>62</v>
      </c>
      <c r="H14" s="268" t="s">
        <v>214</v>
      </c>
      <c r="I14" s="603" t="s">
        <v>62</v>
      </c>
    </row>
    <row r="15" spans="1:9" x14ac:dyDescent="0.3">
      <c r="D15" s="602" t="str">
        <f t="shared" si="0"/>
        <v>Jor.</v>
      </c>
      <c r="E15" s="268" t="s">
        <v>470</v>
      </c>
      <c r="F15" s="268" t="s">
        <v>212</v>
      </c>
      <c r="G15" s="268" t="s">
        <v>65</v>
      </c>
      <c r="H15" s="268" t="s">
        <v>216</v>
      </c>
      <c r="I15" s="603" t="s">
        <v>6</v>
      </c>
    </row>
    <row r="16" spans="1:9" x14ac:dyDescent="0.3">
      <c r="D16" s="602" t="str">
        <f t="shared" si="0"/>
        <v>Casa</v>
      </c>
      <c r="E16" s="268" t="s">
        <v>470</v>
      </c>
      <c r="F16" s="268" t="s">
        <v>213</v>
      </c>
      <c r="G16" s="268" t="s">
        <v>21</v>
      </c>
      <c r="H16" s="268" t="s">
        <v>217</v>
      </c>
      <c r="I16" s="603" t="s">
        <v>21</v>
      </c>
    </row>
    <row r="17" spans="4:9" x14ac:dyDescent="0.3">
      <c r="D17" s="602" t="str">
        <f t="shared" si="0"/>
        <v>Gol</v>
      </c>
      <c r="E17" s="268" t="s">
        <v>470</v>
      </c>
      <c r="F17" s="268" t="s">
        <v>220</v>
      </c>
      <c r="G17" s="268" t="s">
        <v>23</v>
      </c>
      <c r="H17" s="268" t="s">
        <v>221</v>
      </c>
      <c r="I17" s="603" t="s">
        <v>23</v>
      </c>
    </row>
    <row r="18" spans="4:9" x14ac:dyDescent="0.3">
      <c r="D18" s="602" t="str">
        <f t="shared" si="0"/>
        <v>Fuera</v>
      </c>
      <c r="E18" s="268" t="s">
        <v>470</v>
      </c>
      <c r="F18" s="268" t="s">
        <v>222</v>
      </c>
      <c r="G18" s="268" t="s">
        <v>22</v>
      </c>
      <c r="H18" s="268" t="s">
        <v>223</v>
      </c>
      <c r="I18" s="603" t="s">
        <v>527</v>
      </c>
    </row>
    <row r="19" spans="4:9" x14ac:dyDescent="0.3">
      <c r="D19" s="602" t="str">
        <f t="shared" si="0"/>
        <v>Grupo</v>
      </c>
      <c r="E19" s="268" t="s">
        <v>470</v>
      </c>
      <c r="F19" s="268" t="s">
        <v>224</v>
      </c>
      <c r="G19" s="268" t="s">
        <v>107</v>
      </c>
      <c r="H19" s="268" t="s">
        <v>225</v>
      </c>
      <c r="I19" s="603" t="s">
        <v>107</v>
      </c>
    </row>
    <row r="20" spans="4:9" x14ac:dyDescent="0.3">
      <c r="D20" s="602" t="str">
        <f t="shared" si="0"/>
        <v>¡EMPATE! Puedes seleccionar el orden de los empatados.</v>
      </c>
      <c r="E20" s="268" t="s">
        <v>470</v>
      </c>
      <c r="F20" s="268" t="s">
        <v>226</v>
      </c>
      <c r="G20" s="268" t="s">
        <v>54</v>
      </c>
      <c r="H20" s="268" t="s">
        <v>258</v>
      </c>
      <c r="I20" s="603" t="s">
        <v>528</v>
      </c>
    </row>
    <row r="21" spans="4:9" x14ac:dyDescent="0.3">
      <c r="D21" s="602" t="str">
        <f t="shared" si="0"/>
        <v>¡EMPATE! Puedes seleccionar el orden de los empatados entre los terceros.</v>
      </c>
      <c r="E21" s="268" t="s">
        <v>470</v>
      </c>
      <c r="F21" s="268" t="s">
        <v>241</v>
      </c>
      <c r="G21" s="268" t="s">
        <v>136</v>
      </c>
      <c r="H21" s="268" t="s">
        <v>258</v>
      </c>
      <c r="I21" s="603" t="s">
        <v>528</v>
      </c>
    </row>
    <row r="22" spans="4:9" x14ac:dyDescent="0.3">
      <c r="D22" s="602" t="str">
        <f t="shared" si="0"/>
        <v>Mejores terceros</v>
      </c>
      <c r="E22" s="268" t="s">
        <v>470</v>
      </c>
      <c r="F22" s="268" t="s">
        <v>227</v>
      </c>
      <c r="G22" s="268" t="s">
        <v>102</v>
      </c>
      <c r="H22" s="268" t="s">
        <v>259</v>
      </c>
      <c r="I22" s="603" t="s">
        <v>529</v>
      </c>
    </row>
    <row r="23" spans="4:9" x14ac:dyDescent="0.3">
      <c r="D23" s="602" t="str">
        <f t="shared" si="0"/>
        <v>Octavos de final</v>
      </c>
      <c r="E23" s="268" t="s">
        <v>470</v>
      </c>
      <c r="F23" s="268" t="s">
        <v>228</v>
      </c>
      <c r="G23" s="268" t="s">
        <v>112</v>
      </c>
      <c r="H23" s="268" t="s">
        <v>252</v>
      </c>
      <c r="I23" s="603" t="s">
        <v>530</v>
      </c>
    </row>
    <row r="24" spans="4:9" x14ac:dyDescent="0.3">
      <c r="D24" s="602" t="str">
        <f t="shared" si="0"/>
        <v>Cuartos de final</v>
      </c>
      <c r="E24" s="268" t="s">
        <v>470</v>
      </c>
      <c r="F24" s="268" t="s">
        <v>229</v>
      </c>
      <c r="G24" s="268" t="s">
        <v>104</v>
      </c>
      <c r="H24" s="268" t="s">
        <v>253</v>
      </c>
      <c r="I24" s="603" t="s">
        <v>531</v>
      </c>
    </row>
    <row r="25" spans="4:9" x14ac:dyDescent="0.3">
      <c r="D25" s="602" t="str">
        <f t="shared" si="0"/>
        <v>Semifinales</v>
      </c>
      <c r="E25" s="268" t="s">
        <v>470</v>
      </c>
      <c r="F25" s="268" t="s">
        <v>230</v>
      </c>
      <c r="G25" s="268" t="s">
        <v>70</v>
      </c>
      <c r="H25" s="268" t="s">
        <v>254</v>
      </c>
      <c r="I25" s="603" t="s">
        <v>532</v>
      </c>
    </row>
    <row r="26" spans="4:9" x14ac:dyDescent="0.3">
      <c r="D26" s="602" t="str">
        <f t="shared" si="0"/>
        <v>3º-4º puesto</v>
      </c>
      <c r="E26" s="268" t="s">
        <v>470</v>
      </c>
      <c r="G26" s="268" t="s">
        <v>471</v>
      </c>
      <c r="H26" s="268" t="s">
        <v>472</v>
      </c>
      <c r="I26" s="603" t="s">
        <v>533</v>
      </c>
    </row>
    <row r="27" spans="4:9" x14ac:dyDescent="0.3">
      <c r="D27" s="602" t="str">
        <f t="shared" si="0"/>
        <v>Final</v>
      </c>
      <c r="E27" s="268" t="s">
        <v>470</v>
      </c>
      <c r="F27" s="268" t="s">
        <v>231</v>
      </c>
      <c r="G27" s="268" t="s">
        <v>71</v>
      </c>
      <c r="H27" s="268" t="s">
        <v>71</v>
      </c>
      <c r="I27" s="603" t="s">
        <v>71</v>
      </c>
    </row>
    <row r="28" spans="4:9" x14ac:dyDescent="0.3">
      <c r="D28" s="602" t="str">
        <f t="shared" si="0"/>
        <v>CUADRO DE HONOR</v>
      </c>
      <c r="E28" s="268" t="s">
        <v>470</v>
      </c>
      <c r="F28" s="268" t="s">
        <v>232</v>
      </c>
      <c r="G28" s="268" t="s">
        <v>39</v>
      </c>
      <c r="H28" s="268" t="s">
        <v>255</v>
      </c>
      <c r="I28" s="603" t="s">
        <v>534</v>
      </c>
    </row>
    <row r="29" spans="4:9" x14ac:dyDescent="0.3">
      <c r="D29" s="602" t="str">
        <f t="shared" si="0"/>
        <v>Campeón</v>
      </c>
      <c r="E29" s="268" t="s">
        <v>470</v>
      </c>
      <c r="F29" s="268" t="s">
        <v>233</v>
      </c>
      <c r="G29" s="268" t="s">
        <v>36</v>
      </c>
      <c r="H29" s="268" t="s">
        <v>256</v>
      </c>
      <c r="I29" s="603" t="s">
        <v>535</v>
      </c>
    </row>
    <row r="30" spans="4:9" x14ac:dyDescent="0.3">
      <c r="D30" s="602" t="str">
        <f t="shared" si="0"/>
        <v>Subcampeón</v>
      </c>
      <c r="E30" s="268" t="s">
        <v>470</v>
      </c>
      <c r="F30" s="268" t="s">
        <v>234</v>
      </c>
      <c r="G30" s="268" t="s">
        <v>37</v>
      </c>
      <c r="H30" s="268" t="s">
        <v>257</v>
      </c>
      <c r="I30" s="603" t="s">
        <v>536</v>
      </c>
    </row>
    <row r="31" spans="4:9" x14ac:dyDescent="0.3">
      <c r="D31" s="602" t="str">
        <f t="shared" si="0"/>
        <v>3º puesto</v>
      </c>
      <c r="E31" s="268" t="s">
        <v>470</v>
      </c>
      <c r="G31" s="268" t="s">
        <v>474</v>
      </c>
      <c r="H31" s="268" t="s">
        <v>473</v>
      </c>
      <c r="I31" s="603" t="s">
        <v>537</v>
      </c>
    </row>
    <row r="32" spans="4:9" x14ac:dyDescent="0.3">
      <c r="D32" s="602" t="str">
        <f t="shared" si="0"/>
        <v>Goleador del torneo</v>
      </c>
      <c r="E32" s="268" t="s">
        <v>470</v>
      </c>
      <c r="F32" s="268" t="s">
        <v>235</v>
      </c>
      <c r="G32" s="268" t="s">
        <v>75</v>
      </c>
      <c r="H32" s="268" t="s">
        <v>278</v>
      </c>
      <c r="I32" s="603" t="s">
        <v>538</v>
      </c>
    </row>
    <row r="33" spans="4:9" x14ac:dyDescent="0.3">
      <c r="D33" s="602" t="str">
        <f t="shared" si="0"/>
        <v>Mejor jugador del torneo</v>
      </c>
      <c r="E33" s="268" t="s">
        <v>470</v>
      </c>
      <c r="F33" s="268" t="s">
        <v>236</v>
      </c>
      <c r="G33" s="268" t="s">
        <v>76</v>
      </c>
      <c r="H33" s="268" t="s">
        <v>279</v>
      </c>
      <c r="I33" s="603" t="s">
        <v>539</v>
      </c>
    </row>
    <row r="34" spans="4:9" x14ac:dyDescent="0.3">
      <c r="D34" s="602" t="str">
        <f t="shared" si="0"/>
        <v>Mejor portero del torneo</v>
      </c>
      <c r="E34" s="268" t="s">
        <v>470</v>
      </c>
      <c r="G34" s="268" t="s">
        <v>477</v>
      </c>
      <c r="H34" s="268" t="s">
        <v>514</v>
      </c>
      <c r="I34" s="603" t="s">
        <v>540</v>
      </c>
    </row>
    <row r="35" spans="4:9" x14ac:dyDescent="0.3">
      <c r="D35" s="602" t="str">
        <f t="shared" si="0"/>
        <v>Escribe un jugador</v>
      </c>
      <c r="E35" s="268" t="s">
        <v>470</v>
      </c>
      <c r="F35" s="268" t="s">
        <v>237</v>
      </c>
      <c r="G35" s="268" t="s">
        <v>40</v>
      </c>
      <c r="H35" s="268" t="s">
        <v>280</v>
      </c>
      <c r="I35" s="603" t="s">
        <v>541</v>
      </c>
    </row>
    <row r="36" spans="4:9" x14ac:dyDescent="0.3">
      <c r="D36" s="602" t="str">
        <f t="shared" si="0"/>
        <v>Escribe un jugador</v>
      </c>
      <c r="E36" s="268" t="s">
        <v>470</v>
      </c>
      <c r="F36" s="268" t="s">
        <v>238</v>
      </c>
      <c r="G36" s="268" t="s">
        <v>40</v>
      </c>
      <c r="H36" s="268" t="s">
        <v>280</v>
      </c>
      <c r="I36" s="603" t="s">
        <v>541</v>
      </c>
    </row>
    <row r="37" spans="4:9" x14ac:dyDescent="0.3">
      <c r="D37" s="602" t="str">
        <f t="shared" si="0"/>
        <v>Escribe un portero</v>
      </c>
      <c r="E37" s="268" t="s">
        <v>470</v>
      </c>
      <c r="G37" s="268" t="s">
        <v>478</v>
      </c>
      <c r="H37" s="268" t="s">
        <v>479</v>
      </c>
      <c r="I37" s="603" t="s">
        <v>542</v>
      </c>
    </row>
    <row r="38" spans="4:9" x14ac:dyDescent="0.3">
      <c r="D38" s="602" t="str">
        <f t="shared" si="0"/>
        <v>TU NOMBRE</v>
      </c>
      <c r="E38" s="268" t="s">
        <v>470</v>
      </c>
      <c r="F38" s="268" t="s">
        <v>239</v>
      </c>
      <c r="G38" s="268" t="s">
        <v>35</v>
      </c>
      <c r="H38" s="268" t="s">
        <v>260</v>
      </c>
      <c r="I38" s="603" t="s">
        <v>543</v>
      </c>
    </row>
    <row r="39" spans="4:9" x14ac:dyDescent="0.3">
      <c r="D39" s="602" t="str">
        <f t="shared" si="0"/>
        <v>ESCRIBE TU NOMBRE</v>
      </c>
      <c r="E39" s="268" t="s">
        <v>470</v>
      </c>
      <c r="F39" s="268" t="s">
        <v>240</v>
      </c>
      <c r="G39" s="268" t="s">
        <v>55</v>
      </c>
      <c r="H39" s="268" t="s">
        <v>261</v>
      </c>
      <c r="I39" s="603" t="s">
        <v>544</v>
      </c>
    </row>
    <row r="40" spans="4:9" x14ac:dyDescent="0.3">
      <c r="D40" s="602" t="str">
        <f t="shared" si="0"/>
        <v>QUINIELA INCOMPLETA:</v>
      </c>
      <c r="E40" s="268" t="s">
        <v>470</v>
      </c>
      <c r="F40" s="268" t="s">
        <v>242</v>
      </c>
      <c r="G40" s="268" t="s">
        <v>475</v>
      </c>
      <c r="H40" s="268" t="s">
        <v>262</v>
      </c>
      <c r="I40" s="603" t="s">
        <v>545</v>
      </c>
    </row>
    <row r="41" spans="4:9" x14ac:dyDescent="0.3">
      <c r="D41" s="602" t="str">
        <f t="shared" si="0"/>
        <v>Aún falta algún pronóstico</v>
      </c>
      <c r="E41" s="268" t="s">
        <v>470</v>
      </c>
      <c r="F41" s="268" t="s">
        <v>243</v>
      </c>
      <c r="G41" s="268" t="s">
        <v>593</v>
      </c>
      <c r="H41" s="268" t="s">
        <v>281</v>
      </c>
      <c r="I41" s="603" t="s">
        <v>594</v>
      </c>
    </row>
    <row r="42" spans="4:9" x14ac:dyDescent="0.3">
      <c r="D42" s="602" t="str">
        <f t="shared" si="0"/>
        <v>QUINIELA COMPLETA:</v>
      </c>
      <c r="E42" s="268" t="s">
        <v>470</v>
      </c>
      <c r="F42" s="268" t="s">
        <v>244</v>
      </c>
      <c r="G42" s="268" t="s">
        <v>476</v>
      </c>
      <c r="H42" s="268" t="s">
        <v>263</v>
      </c>
      <c r="I42" s="603" t="s">
        <v>546</v>
      </c>
    </row>
    <row r="43" spans="4:9" x14ac:dyDescent="0.3">
      <c r="D43" s="602" t="str">
        <f t="shared" si="0"/>
        <v>Guarda el archivo y envialo al administrador de la quiniela</v>
      </c>
      <c r="E43" s="268" t="s">
        <v>470</v>
      </c>
      <c r="F43" s="268" t="s">
        <v>245</v>
      </c>
      <c r="G43" s="268" t="s">
        <v>634</v>
      </c>
      <c r="H43" s="268" t="s">
        <v>635</v>
      </c>
      <c r="I43" s="603" t="s">
        <v>636</v>
      </c>
    </row>
    <row r="44" spans="4:9" x14ac:dyDescent="0.3">
      <c r="D44" s="602" t="str">
        <f t="shared" si="0"/>
        <v>Pos</v>
      </c>
      <c r="E44" s="268" t="s">
        <v>470</v>
      </c>
      <c r="F44" s="268" t="s">
        <v>264</v>
      </c>
      <c r="G44" s="268" t="s">
        <v>18</v>
      </c>
      <c r="H44" s="268" t="s">
        <v>18</v>
      </c>
      <c r="I44" s="603" t="s">
        <v>18</v>
      </c>
    </row>
    <row r="45" spans="4:9" x14ac:dyDescent="0.3">
      <c r="D45" s="602" t="str">
        <f t="shared" si="0"/>
        <v>Selección</v>
      </c>
      <c r="E45" s="268" t="s">
        <v>470</v>
      </c>
      <c r="F45" s="268" t="s">
        <v>265</v>
      </c>
      <c r="G45" s="268" t="s">
        <v>103</v>
      </c>
      <c r="H45" s="268" t="s">
        <v>274</v>
      </c>
      <c r="I45" s="603" t="s">
        <v>547</v>
      </c>
    </row>
    <row r="46" spans="4:9" x14ac:dyDescent="0.3">
      <c r="D46" s="602" t="str">
        <f t="shared" si="0"/>
        <v>Pts</v>
      </c>
      <c r="E46" s="268" t="s">
        <v>470</v>
      </c>
      <c r="F46" s="268" t="s">
        <v>266</v>
      </c>
      <c r="G46" s="268" t="s">
        <v>66</v>
      </c>
      <c r="H46" s="268" t="s">
        <v>66</v>
      </c>
      <c r="I46" s="603" t="s">
        <v>66</v>
      </c>
    </row>
    <row r="47" spans="4:9" x14ac:dyDescent="0.3">
      <c r="D47" s="602" t="str">
        <f t="shared" si="0"/>
        <v>J</v>
      </c>
      <c r="E47" s="268" t="s">
        <v>470</v>
      </c>
      <c r="F47" s="268" t="s">
        <v>267</v>
      </c>
      <c r="G47" s="268" t="s">
        <v>6</v>
      </c>
      <c r="H47" s="268" t="s">
        <v>8</v>
      </c>
      <c r="I47" s="603" t="s">
        <v>6</v>
      </c>
    </row>
    <row r="48" spans="4:9" x14ac:dyDescent="0.3">
      <c r="D48" s="602" t="str">
        <f t="shared" si="0"/>
        <v>G</v>
      </c>
      <c r="E48" s="268" t="s">
        <v>470</v>
      </c>
      <c r="F48" s="268" t="s">
        <v>268</v>
      </c>
      <c r="G48" s="268" t="s">
        <v>7</v>
      </c>
      <c r="H48" s="268" t="s">
        <v>275</v>
      </c>
      <c r="I48" s="603" t="s">
        <v>548</v>
      </c>
    </row>
    <row r="49" spans="4:9" x14ac:dyDescent="0.3">
      <c r="D49" s="602" t="str">
        <f t="shared" si="0"/>
        <v>E</v>
      </c>
      <c r="E49" s="268" t="s">
        <v>470</v>
      </c>
      <c r="F49" s="268" t="s">
        <v>269</v>
      </c>
      <c r="G49" s="268" t="s">
        <v>3</v>
      </c>
      <c r="H49" s="268" t="s">
        <v>110</v>
      </c>
      <c r="I49" s="603" t="s">
        <v>3</v>
      </c>
    </row>
    <row r="50" spans="4:9" x14ac:dyDescent="0.3">
      <c r="D50" s="602" t="str">
        <f t="shared" si="0"/>
        <v>P</v>
      </c>
      <c r="E50" s="268" t="s">
        <v>470</v>
      </c>
      <c r="F50" s="268" t="s">
        <v>270</v>
      </c>
      <c r="G50" s="268" t="s">
        <v>8</v>
      </c>
      <c r="H50" s="268" t="s">
        <v>276</v>
      </c>
      <c r="I50" s="603" t="s">
        <v>110</v>
      </c>
    </row>
    <row r="51" spans="4:9" x14ac:dyDescent="0.3">
      <c r="D51" s="602" t="str">
        <f t="shared" si="0"/>
        <v>GF</v>
      </c>
      <c r="E51" s="268" t="s">
        <v>470</v>
      </c>
      <c r="F51" s="268" t="s">
        <v>271</v>
      </c>
      <c r="G51" s="268" t="s">
        <v>9</v>
      </c>
      <c r="H51" s="268" t="s">
        <v>4</v>
      </c>
      <c r="I51" s="603" t="s">
        <v>9</v>
      </c>
    </row>
    <row r="52" spans="4:9" x14ac:dyDescent="0.3">
      <c r="D52" s="602" t="str">
        <f t="shared" si="0"/>
        <v>GC</v>
      </c>
      <c r="E52" s="268" t="s">
        <v>470</v>
      </c>
      <c r="F52" s="268" t="s">
        <v>272</v>
      </c>
      <c r="G52" s="268" t="s">
        <v>10</v>
      </c>
      <c r="H52" s="268" t="s">
        <v>0</v>
      </c>
      <c r="I52" s="603" t="s">
        <v>549</v>
      </c>
    </row>
    <row r="53" spans="4:9" x14ac:dyDescent="0.3">
      <c r="D53" s="602" t="str">
        <f t="shared" si="0"/>
        <v>DG</v>
      </c>
      <c r="E53" s="268" t="s">
        <v>470</v>
      </c>
      <c r="F53" s="268" t="s">
        <v>273</v>
      </c>
      <c r="G53" s="268" t="s">
        <v>101</v>
      </c>
      <c r="H53" s="268" t="s">
        <v>111</v>
      </c>
      <c r="I53" s="603" t="s">
        <v>550</v>
      </c>
    </row>
    <row r="54" spans="4:9" x14ac:dyDescent="0.3">
      <c r="D54" s="602" t="str">
        <f t="shared" si="0"/>
        <v>J1</v>
      </c>
      <c r="E54" s="268" t="s">
        <v>470</v>
      </c>
      <c r="G54" s="268" t="s">
        <v>59</v>
      </c>
      <c r="H54" s="268" t="s">
        <v>317</v>
      </c>
      <c r="I54" s="603" t="s">
        <v>59</v>
      </c>
    </row>
    <row r="55" spans="4:9" x14ac:dyDescent="0.3">
      <c r="D55" s="602" t="str">
        <f t="shared" si="0"/>
        <v>J2</v>
      </c>
      <c r="E55" s="268" t="s">
        <v>470</v>
      </c>
      <c r="G55" s="268" t="s">
        <v>60</v>
      </c>
      <c r="H55" s="268" t="s">
        <v>318</v>
      </c>
      <c r="I55" s="603" t="s">
        <v>60</v>
      </c>
    </row>
    <row r="56" spans="4:9" ht="15" thickBot="1" x14ac:dyDescent="0.35">
      <c r="D56" s="604" t="str">
        <f t="shared" si="0"/>
        <v>J3</v>
      </c>
      <c r="E56" s="605" t="s">
        <v>470</v>
      </c>
      <c r="F56" s="605"/>
      <c r="G56" s="605" t="s">
        <v>61</v>
      </c>
      <c r="H56" s="605" t="s">
        <v>319</v>
      </c>
      <c r="I56" s="607" t="s">
        <v>61</v>
      </c>
    </row>
    <row r="57" spans="4:9" ht="15" thickBot="1" x14ac:dyDescent="0.35"/>
    <row r="58" spans="4:9" x14ac:dyDescent="0.3">
      <c r="D58" s="599" t="str">
        <f t="shared" si="0"/>
        <v>OTROS ARCHIVOS (2024-2025)</v>
      </c>
      <c r="E58" s="600"/>
      <c r="F58" s="600"/>
      <c r="G58" s="600" t="s">
        <v>613</v>
      </c>
      <c r="H58" s="600" t="s">
        <v>614</v>
      </c>
      <c r="I58" s="601" t="s">
        <v>615</v>
      </c>
    </row>
    <row r="59" spans="4:9" x14ac:dyDescent="0.3">
      <c r="D59" s="602" t="str">
        <f t="shared" si="0"/>
        <v>Estamos trabajando en ello pero todavía no conocemos las normas de la competición</v>
      </c>
      <c r="G59" s="268" t="s">
        <v>604</v>
      </c>
      <c r="H59" s="268" t="s">
        <v>605</v>
      </c>
      <c r="I59" s="603" t="s">
        <v>607</v>
      </c>
    </row>
    <row r="60" spans="4:9" x14ac:dyDescent="0.3">
      <c r="D60" s="602" t="str">
        <f t="shared" si="0"/>
        <v>Probablemente hagamos un archivo más adelante</v>
      </c>
      <c r="G60" s="268" t="s">
        <v>606</v>
      </c>
      <c r="H60" s="268" t="s">
        <v>608</v>
      </c>
      <c r="I60" s="603" t="s">
        <v>609</v>
      </c>
    </row>
    <row r="61" spans="4:9" ht="15" customHeight="1" x14ac:dyDescent="0.3">
      <c r="D61" s="602" t="str">
        <f t="shared" si="0"/>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el nombre de los equipos). Las formulas, la protección y la estructura no debe ser modificada. El archivo no puede ser revendido a terceros y es de uso exclusivo para el usuario.</v>
      </c>
      <c r="E61" s="268" t="s">
        <v>247</v>
      </c>
      <c r="F61" s="268" t="s">
        <v>147</v>
      </c>
      <c r="G61" s="268" t="s">
        <v>108</v>
      </c>
      <c r="H61" s="608" t="s">
        <v>330</v>
      </c>
      <c r="I61" s="603" t="s">
        <v>551</v>
      </c>
    </row>
    <row r="62" spans="4:9" x14ac:dyDescent="0.3">
      <c r="D62" s="602" t="str">
        <f t="shared" si="0"/>
        <v>Autor:</v>
      </c>
      <c r="E62" s="268" t="s">
        <v>247</v>
      </c>
      <c r="F62" s="268" t="s">
        <v>248</v>
      </c>
      <c r="G62" s="268" t="s">
        <v>57</v>
      </c>
      <c r="H62" s="268" t="s">
        <v>331</v>
      </c>
      <c r="I62" s="603" t="s">
        <v>57</v>
      </c>
    </row>
    <row r="63" spans="4:9" x14ac:dyDescent="0.3">
      <c r="D63" s="602" t="str">
        <f t="shared" si="0"/>
        <v>Útima versión</v>
      </c>
      <c r="E63" s="268" t="s">
        <v>247</v>
      </c>
      <c r="F63" s="268" t="s">
        <v>249</v>
      </c>
      <c r="G63" s="268" t="s">
        <v>333</v>
      </c>
      <c r="H63" s="268" t="s">
        <v>332</v>
      </c>
      <c r="I63" s="603" t="s">
        <v>552</v>
      </c>
    </row>
    <row r="64" spans="4:9" ht="15" thickBot="1" x14ac:dyDescent="0.35">
      <c r="D64" s="604" t="str">
        <f t="shared" si="0"/>
        <v>Limitación de responsabilidad:</v>
      </c>
      <c r="E64" s="605" t="s">
        <v>247</v>
      </c>
      <c r="F64" s="605" t="s">
        <v>143</v>
      </c>
      <c r="G64" s="605" t="s">
        <v>56</v>
      </c>
      <c r="H64" s="605" t="s">
        <v>356</v>
      </c>
      <c r="I64" s="607" t="s">
        <v>553</v>
      </c>
    </row>
    <row r="66" spans="3:16" ht="15" thickBot="1" x14ac:dyDescent="0.35"/>
    <row r="67" spans="3:16" x14ac:dyDescent="0.3">
      <c r="D67" s="599" t="str">
        <f t="shared" si="0"/>
        <v>Para el administrador de la Quiniela</v>
      </c>
      <c r="E67" s="600" t="s">
        <v>440</v>
      </c>
      <c r="F67" s="600" t="s">
        <v>139</v>
      </c>
      <c r="G67" s="600" t="s">
        <v>554</v>
      </c>
      <c r="H67" s="600" t="s">
        <v>309</v>
      </c>
      <c r="I67" s="601" t="s">
        <v>570</v>
      </c>
    </row>
    <row r="68" spans="3:16" x14ac:dyDescent="0.3">
      <c r="D68" s="602" t="str">
        <f t="shared" si="0"/>
        <v>PARTICIPANTE</v>
      </c>
      <c r="E68" s="268" t="s">
        <v>440</v>
      </c>
      <c r="F68" s="268" t="s">
        <v>143</v>
      </c>
      <c r="G68" s="268" t="s">
        <v>105</v>
      </c>
      <c r="H68" s="268" t="s">
        <v>310</v>
      </c>
      <c r="I68" s="603" t="s">
        <v>105</v>
      </c>
    </row>
    <row r="69" spans="3:16" x14ac:dyDescent="0.3">
      <c r="D69" s="602" t="str">
        <f t="shared" ref="D69:D130" si="1">IF($B$2,G69,IF($B$3,H69,IF($B$4,I69,G69)))</f>
        <v>Nombre</v>
      </c>
      <c r="E69" s="268" t="s">
        <v>440</v>
      </c>
      <c r="F69" s="268" t="s">
        <v>147</v>
      </c>
      <c r="G69" s="268" t="s">
        <v>77</v>
      </c>
      <c r="H69" s="268" t="s">
        <v>311</v>
      </c>
      <c r="I69" s="603" t="s">
        <v>555</v>
      </c>
    </row>
    <row r="70" spans="3:16" x14ac:dyDescent="0.3">
      <c r="D70" s="602" t="str">
        <f t="shared" si="1"/>
        <v>¡No tocar nada, se rellena solo!</v>
      </c>
      <c r="E70" s="268" t="s">
        <v>440</v>
      </c>
      <c r="F70" s="268" t="s">
        <v>282</v>
      </c>
      <c r="G70" s="268" t="s">
        <v>78</v>
      </c>
      <c r="H70" s="268" t="s">
        <v>312</v>
      </c>
      <c r="I70" s="603" t="s">
        <v>556</v>
      </c>
    </row>
    <row r="71" spans="3:16" ht="15" customHeight="1" x14ac:dyDescent="0.3">
      <c r="D71" s="602" t="str">
        <f t="shared" si="1"/>
        <v>EL ADMINISTRADOR DE LA QUINIELA SEGUIRÁ LAS INSTRUCCIONES DE AQUÍ ABAJO</v>
      </c>
      <c r="E71" s="268" t="s">
        <v>440</v>
      </c>
      <c r="F71" s="268" t="s">
        <v>141</v>
      </c>
      <c r="G71" s="268" t="s">
        <v>557</v>
      </c>
      <c r="H71" s="268" t="s">
        <v>313</v>
      </c>
      <c r="I71" s="603" t="s">
        <v>571</v>
      </c>
      <c r="J71" s="609"/>
      <c r="K71" s="609"/>
      <c r="L71" s="609"/>
      <c r="M71" s="609"/>
      <c r="N71" s="609"/>
      <c r="O71" s="609"/>
      <c r="P71" s="609"/>
    </row>
    <row r="72" spans="3:16" ht="15" customHeight="1" x14ac:dyDescent="0.3">
      <c r="D72" s="602" t="str">
        <f t="shared" si="1"/>
        <v>·Si haceis toda la Copa América de golpe copiar de la C6 a la C95 y pegar valores en la plantilla de Administrador.</v>
      </c>
      <c r="E72" s="268" t="s">
        <v>440</v>
      </c>
      <c r="F72" s="268" t="s">
        <v>150</v>
      </c>
      <c r="G72" s="268" t="s">
        <v>491</v>
      </c>
      <c r="H72" s="268" t="s">
        <v>492</v>
      </c>
      <c r="I72" s="603" t="s">
        <v>558</v>
      </c>
      <c r="J72" s="609"/>
      <c r="K72" s="609"/>
      <c r="L72" s="609"/>
      <c r="M72" s="609"/>
      <c r="N72" s="609"/>
      <c r="O72" s="609"/>
      <c r="P72" s="609"/>
    </row>
    <row r="73" spans="3:16" x14ac:dyDescent="0.3">
      <c r="D73" s="602" t="str">
        <f t="shared" si="1"/>
        <v>·Si haceis toda la fase de grupos de golpe y las eliminatorias aparte, copiar primero de la C6 a la C57 y pegar valores en la plantilla de Administrador. OJO, copiar también y pegar valores de la C93 a la C95. En octavos seguir las instrucciones de abajo.</v>
      </c>
      <c r="E73" s="268" t="s">
        <v>440</v>
      </c>
      <c r="F73" s="268" t="s">
        <v>283</v>
      </c>
      <c r="G73" s="268" t="s">
        <v>629</v>
      </c>
      <c r="H73" s="268" t="s">
        <v>627</v>
      </c>
      <c r="I73" s="603" t="s">
        <v>628</v>
      </c>
    </row>
    <row r="74" spans="3:16" ht="15" customHeight="1" x14ac:dyDescent="0.3">
      <c r="D74" s="602" t="str">
        <f t="shared" si="1"/>
        <v>·Si haceis jornada a jornada seguir las instrucciones de cada jornada</v>
      </c>
      <c r="E74" s="268" t="s">
        <v>440</v>
      </c>
      <c r="F74" s="268" t="s">
        <v>284</v>
      </c>
      <c r="G74" s="268" t="s">
        <v>153</v>
      </c>
      <c r="H74" s="268" t="s">
        <v>314</v>
      </c>
      <c r="I74" s="603" t="s">
        <v>559</v>
      </c>
      <c r="J74" s="610"/>
      <c r="K74" s="610"/>
      <c r="L74" s="610"/>
    </row>
    <row r="75" spans="3:16" x14ac:dyDescent="0.3">
      <c r="D75" s="602" t="str">
        <f t="shared" si="1"/>
        <v>·Para la primera jornada selecciona de la C6 a la C13 y pega valores en la plantilla de administrador. ¡OJO! COPIAR TAMBIÉN de la C93 a la C95.</v>
      </c>
      <c r="E75" s="268" t="s">
        <v>440</v>
      </c>
      <c r="F75" s="268" t="s">
        <v>285</v>
      </c>
      <c r="G75" s="268" t="s">
        <v>493</v>
      </c>
      <c r="H75" s="268" t="s">
        <v>494</v>
      </c>
      <c r="I75" s="603" t="s">
        <v>560</v>
      </c>
    </row>
    <row r="76" spans="3:16" x14ac:dyDescent="0.3">
      <c r="D76" s="602" t="str">
        <f t="shared" si="1"/>
        <v>·Para la segunda jornada selecciona de la C14 a la C21 y pega valores en la plantilla de administrador.</v>
      </c>
      <c r="E76" s="268" t="s">
        <v>440</v>
      </c>
      <c r="F76" s="268" t="s">
        <v>286</v>
      </c>
      <c r="G76" s="268" t="s">
        <v>480</v>
      </c>
      <c r="H76" s="268" t="s">
        <v>481</v>
      </c>
      <c r="I76" s="603" t="s">
        <v>561</v>
      </c>
    </row>
    <row r="77" spans="3:16" x14ac:dyDescent="0.3">
      <c r="D77" s="602" t="str">
        <f t="shared" si="1"/>
        <v>·Para la tercera jornada selecciona de la C22 a la C57 y pega valores en la plantilla de administrador.</v>
      </c>
      <c r="E77" s="268" t="s">
        <v>440</v>
      </c>
      <c r="F77" s="268" t="s">
        <v>287</v>
      </c>
      <c r="G77" s="268" t="s">
        <v>482</v>
      </c>
      <c r="H77" s="268" t="s">
        <v>483</v>
      </c>
      <c r="I77" s="603" t="s">
        <v>562</v>
      </c>
    </row>
    <row r="78" spans="3:16" x14ac:dyDescent="0.3">
      <c r="D78" s="602" t="str">
        <f t="shared" si="1"/>
        <v>·Si haceis todas las eliminatorias de golpe, copiar de la C60 a la C92 y pegar valores en la plantilla de Administrador.</v>
      </c>
      <c r="E78" s="268" t="s">
        <v>440</v>
      </c>
      <c r="F78" s="268" t="s">
        <v>288</v>
      </c>
      <c r="G78" s="268" t="s">
        <v>495</v>
      </c>
      <c r="H78" s="268" t="s">
        <v>496</v>
      </c>
      <c r="I78" s="603" t="s">
        <v>563</v>
      </c>
    </row>
    <row r="79" spans="3:16" x14ac:dyDescent="0.3">
      <c r="D79" s="602" t="str">
        <f t="shared" si="1"/>
        <v>·Si haceis eliminatoria a eliminatoria seguir las instrucciones de cada eliminatoria.</v>
      </c>
      <c r="E79" s="268" t="s">
        <v>440</v>
      </c>
      <c r="F79" s="268" t="s">
        <v>289</v>
      </c>
      <c r="G79" s="268" t="s">
        <v>154</v>
      </c>
      <c r="H79" s="268" t="s">
        <v>315</v>
      </c>
      <c r="I79" s="603" t="s">
        <v>564</v>
      </c>
    </row>
    <row r="80" spans="3:16" x14ac:dyDescent="0.3">
      <c r="C80" s="268" t="s">
        <v>486</v>
      </c>
      <c r="D80" s="602" t="str">
        <f t="shared" si="1"/>
        <v>·Para los octavos selecciona de la C88 a la C105 y pega valores en la plantilla de administrador.</v>
      </c>
      <c r="E80" s="268" t="s">
        <v>440</v>
      </c>
      <c r="F80" s="268" t="s">
        <v>290</v>
      </c>
      <c r="G80" s="268" t="s">
        <v>152</v>
      </c>
      <c r="H80" s="268" t="s">
        <v>316</v>
      </c>
      <c r="I80" s="603" t="s">
        <v>565</v>
      </c>
    </row>
    <row r="81" spans="4:9" x14ac:dyDescent="0.3">
      <c r="D81" s="602" t="str">
        <f t="shared" si="1"/>
        <v>·Para los cuartos selecciona de la C60 a la C69 y pega valores en la plantilla de administrador.</v>
      </c>
      <c r="E81" s="268" t="s">
        <v>440</v>
      </c>
      <c r="F81" s="268" t="s">
        <v>291</v>
      </c>
      <c r="G81" s="268" t="s">
        <v>484</v>
      </c>
      <c r="H81" s="268" t="s">
        <v>485</v>
      </c>
      <c r="I81" s="603" t="s">
        <v>566</v>
      </c>
    </row>
    <row r="82" spans="4:9" x14ac:dyDescent="0.3">
      <c r="D82" s="602" t="str">
        <f t="shared" si="1"/>
        <v>·Para las semifinales selecciona de la C72 a la C81 y pega valores en la plantilla de administrador.</v>
      </c>
      <c r="E82" s="268" t="s">
        <v>440</v>
      </c>
      <c r="F82" s="268" t="s">
        <v>292</v>
      </c>
      <c r="G82" s="268" t="s">
        <v>497</v>
      </c>
      <c r="H82" s="268" t="s">
        <v>498</v>
      </c>
      <c r="I82" s="603" t="s">
        <v>567</v>
      </c>
    </row>
    <row r="83" spans="4:9" x14ac:dyDescent="0.3">
      <c r="D83" s="602" t="str">
        <f t="shared" si="1"/>
        <v>·Para la final y el 3º y 4º puesto selecciona de la C84 a la C92 y pega valores en la plantilla de administrador.</v>
      </c>
      <c r="E83" s="268" t="s">
        <v>440</v>
      </c>
      <c r="F83" s="268" t="s">
        <v>293</v>
      </c>
      <c r="G83" s="268" t="s">
        <v>499</v>
      </c>
      <c r="H83" s="268" t="s">
        <v>500</v>
      </c>
      <c r="I83" s="603" t="s">
        <v>568</v>
      </c>
    </row>
    <row r="84" spans="4:9" x14ac:dyDescent="0.3">
      <c r="D84" s="602" t="str">
        <f t="shared" si="1"/>
        <v>·Al inicio de la competición si se hace por fases copiar de la C93 a la C95 y pegarla al final del jugador en el archivo de administrador.</v>
      </c>
      <c r="E84" s="268" t="s">
        <v>440</v>
      </c>
      <c r="F84" s="268" t="s">
        <v>294</v>
      </c>
      <c r="G84" s="268" t="s">
        <v>501</v>
      </c>
      <c r="H84" s="268" t="s">
        <v>502</v>
      </c>
      <c r="I84" s="603" t="s">
        <v>569</v>
      </c>
    </row>
    <row r="85" spans="4:9" x14ac:dyDescent="0.3">
      <c r="D85" s="602" t="str">
        <f t="shared" si="1"/>
        <v>J1</v>
      </c>
      <c r="E85" s="268" t="s">
        <v>440</v>
      </c>
      <c r="F85" s="268" t="s">
        <v>295</v>
      </c>
      <c r="G85" s="268" t="s">
        <v>59</v>
      </c>
      <c r="H85" s="268" t="s">
        <v>317</v>
      </c>
      <c r="I85" s="603" t="s">
        <v>59</v>
      </c>
    </row>
    <row r="86" spans="4:9" x14ac:dyDescent="0.3">
      <c r="D86" s="602" t="str">
        <f t="shared" si="1"/>
        <v>J2</v>
      </c>
      <c r="E86" s="268" t="s">
        <v>440</v>
      </c>
      <c r="F86" s="268" t="s">
        <v>296</v>
      </c>
      <c r="G86" s="268" t="s">
        <v>60</v>
      </c>
      <c r="H86" s="268" t="s">
        <v>318</v>
      </c>
      <c r="I86" s="603" t="s">
        <v>60</v>
      </c>
    </row>
    <row r="87" spans="4:9" x14ac:dyDescent="0.3">
      <c r="D87" s="602" t="str">
        <f t="shared" si="1"/>
        <v>J3</v>
      </c>
      <c r="E87" s="268" t="s">
        <v>440</v>
      </c>
      <c r="F87" s="268" t="s">
        <v>297</v>
      </c>
      <c r="G87" s="268" t="s">
        <v>61</v>
      </c>
      <c r="H87" s="268" t="s">
        <v>319</v>
      </c>
      <c r="I87" s="603" t="s">
        <v>61</v>
      </c>
    </row>
    <row r="88" spans="4:9" x14ac:dyDescent="0.3">
      <c r="D88" s="602" t="str">
        <f t="shared" si="1"/>
        <v>FASE DE GRUPOS</v>
      </c>
      <c r="E88" s="268" t="s">
        <v>440</v>
      </c>
      <c r="F88" s="268" t="s">
        <v>298</v>
      </c>
      <c r="G88" s="268" t="s">
        <v>16</v>
      </c>
      <c r="H88" s="268" t="s">
        <v>320</v>
      </c>
      <c r="I88" s="603" t="s">
        <v>16</v>
      </c>
    </row>
    <row r="89" spans="4:9" x14ac:dyDescent="0.3">
      <c r="D89" s="602" t="str">
        <f t="shared" si="1"/>
        <v>POSICIÓN GRUPOS</v>
      </c>
      <c r="E89" s="268" t="s">
        <v>440</v>
      </c>
      <c r="F89" s="268" t="s">
        <v>299</v>
      </c>
      <c r="G89" s="268" t="s">
        <v>79</v>
      </c>
      <c r="H89" s="268" t="s">
        <v>321</v>
      </c>
      <c r="I89" s="603" t="s">
        <v>572</v>
      </c>
    </row>
    <row r="90" spans="4:9" x14ac:dyDescent="0.3">
      <c r="D90" s="602" t="str">
        <f t="shared" si="1"/>
        <v>CLASIFICADOS PARA OCTAVOS</v>
      </c>
      <c r="E90" s="268" t="s">
        <v>440</v>
      </c>
      <c r="F90" s="268" t="s">
        <v>300</v>
      </c>
      <c r="G90" s="268" t="s">
        <v>127</v>
      </c>
      <c r="H90" s="268" t="s">
        <v>322</v>
      </c>
      <c r="I90" s="603" t="s">
        <v>573</v>
      </c>
    </row>
    <row r="91" spans="4:9" x14ac:dyDescent="0.3">
      <c r="D91" s="602" t="str">
        <f t="shared" si="1"/>
        <v>ENFRENTAMIENTOS OCTAVOS</v>
      </c>
      <c r="E91" s="268" t="s">
        <v>440</v>
      </c>
      <c r="F91" s="268" t="s">
        <v>301</v>
      </c>
      <c r="G91" s="268" t="s">
        <v>129</v>
      </c>
      <c r="H91" s="268" t="s">
        <v>323</v>
      </c>
      <c r="I91" s="603" t="s">
        <v>574</v>
      </c>
    </row>
    <row r="92" spans="4:9" x14ac:dyDescent="0.3">
      <c r="D92" s="602" t="str">
        <f t="shared" si="1"/>
        <v>CLASIFICADOS PARA CUARTOS</v>
      </c>
      <c r="E92" s="268" t="s">
        <v>440</v>
      </c>
      <c r="F92" s="268" t="s">
        <v>302</v>
      </c>
      <c r="G92" s="268" t="s">
        <v>92</v>
      </c>
      <c r="H92" s="268" t="s">
        <v>324</v>
      </c>
      <c r="I92" s="603" t="s">
        <v>575</v>
      </c>
    </row>
    <row r="93" spans="4:9" x14ac:dyDescent="0.3">
      <c r="D93" s="602" t="str">
        <f t="shared" si="1"/>
        <v>ENFRENTAMIENTOS CUARTOS</v>
      </c>
      <c r="E93" s="268" t="s">
        <v>440</v>
      </c>
      <c r="F93" s="268" t="s">
        <v>304</v>
      </c>
      <c r="G93" s="268" t="s">
        <v>94</v>
      </c>
      <c r="H93" s="268" t="s">
        <v>325</v>
      </c>
      <c r="I93" s="603" t="s">
        <v>576</v>
      </c>
    </row>
    <row r="94" spans="4:9" x14ac:dyDescent="0.3">
      <c r="D94" s="602" t="str">
        <f t="shared" si="1"/>
        <v>CLASIFICADOS PARA SEMIFINALES</v>
      </c>
      <c r="E94" s="268" t="s">
        <v>440</v>
      </c>
      <c r="F94" s="268" t="s">
        <v>303</v>
      </c>
      <c r="G94" s="268" t="s">
        <v>95</v>
      </c>
      <c r="H94" s="268" t="s">
        <v>326</v>
      </c>
      <c r="I94" s="603" t="s">
        <v>577</v>
      </c>
    </row>
    <row r="95" spans="4:9" x14ac:dyDescent="0.3">
      <c r="D95" s="602" t="str">
        <f t="shared" si="1"/>
        <v>ENFRENTAMIENTOS SEMIFINALES</v>
      </c>
      <c r="E95" s="268" t="s">
        <v>440</v>
      </c>
      <c r="F95" s="268" t="s">
        <v>305</v>
      </c>
      <c r="G95" s="268" t="s">
        <v>97</v>
      </c>
      <c r="H95" s="268" t="s">
        <v>327</v>
      </c>
      <c r="I95" s="603" t="s">
        <v>578</v>
      </c>
    </row>
    <row r="96" spans="4:9" x14ac:dyDescent="0.3">
      <c r="D96" s="602" t="str">
        <f t="shared" si="1"/>
        <v>CLASIFICADOS PARA EL 3º y 4º PUESTO</v>
      </c>
      <c r="G96" s="268" t="s">
        <v>624</v>
      </c>
      <c r="H96" s="268" t="s">
        <v>625</v>
      </c>
      <c r="I96" s="603" t="s">
        <v>626</v>
      </c>
    </row>
    <row r="97" spans="4:9" x14ac:dyDescent="0.3">
      <c r="D97" s="602" t="str">
        <f t="shared" si="1"/>
        <v>CLASIFICADOS PARA LA FINAL</v>
      </c>
      <c r="E97" s="268" t="s">
        <v>440</v>
      </c>
      <c r="F97" s="268" t="s">
        <v>306</v>
      </c>
      <c r="G97" s="268" t="s">
        <v>98</v>
      </c>
      <c r="H97" s="268" t="s">
        <v>328</v>
      </c>
      <c r="I97" s="603" t="s">
        <v>579</v>
      </c>
    </row>
    <row r="98" spans="4:9" x14ac:dyDescent="0.3">
      <c r="D98" s="602" t="str">
        <f t="shared" si="1"/>
        <v>3º-4º PUESTO</v>
      </c>
      <c r="E98" s="268" t="s">
        <v>440</v>
      </c>
      <c r="G98" s="268" t="s">
        <v>503</v>
      </c>
      <c r="H98" s="268" t="s">
        <v>504</v>
      </c>
      <c r="I98" s="603" t="s">
        <v>623</v>
      </c>
    </row>
    <row r="99" spans="4:9" x14ac:dyDescent="0.3">
      <c r="D99" s="602" t="str">
        <f t="shared" si="1"/>
        <v>ENFRENTAMIENTO FINAL</v>
      </c>
      <c r="E99" s="268" t="s">
        <v>440</v>
      </c>
      <c r="F99" s="268" t="s">
        <v>307</v>
      </c>
      <c r="G99" s="268" t="s">
        <v>100</v>
      </c>
      <c r="H99" s="268" t="s">
        <v>329</v>
      </c>
      <c r="I99" s="603" t="s">
        <v>580</v>
      </c>
    </row>
    <row r="100" spans="4:9" x14ac:dyDescent="0.3">
      <c r="D100" s="602" t="str">
        <f t="shared" si="1"/>
        <v>CUADRO DE HONOR</v>
      </c>
      <c r="E100" s="268" t="s">
        <v>440</v>
      </c>
      <c r="F100" s="268" t="s">
        <v>308</v>
      </c>
      <c r="G100" s="268" t="s">
        <v>39</v>
      </c>
      <c r="H100" s="268" t="s">
        <v>255</v>
      </c>
      <c r="I100" s="603" t="s">
        <v>534</v>
      </c>
    </row>
    <row r="101" spans="4:9" x14ac:dyDescent="0.3">
      <c r="D101" s="602" t="str">
        <f t="shared" si="1"/>
        <v>1º GRUPO A</v>
      </c>
      <c r="E101" s="268" t="s">
        <v>440</v>
      </c>
      <c r="F101" s="268" t="s">
        <v>412</v>
      </c>
      <c r="G101" s="268" t="s">
        <v>80</v>
      </c>
      <c r="H101" s="268" t="s">
        <v>384</v>
      </c>
      <c r="I101" s="603" t="s">
        <v>80</v>
      </c>
    </row>
    <row r="102" spans="4:9" x14ac:dyDescent="0.3">
      <c r="D102" s="602" t="str">
        <f t="shared" si="1"/>
        <v>2º GRUPO A</v>
      </c>
      <c r="E102" s="268" t="s">
        <v>440</v>
      </c>
      <c r="F102" s="268" t="s">
        <v>413</v>
      </c>
      <c r="G102" s="268" t="s">
        <v>81</v>
      </c>
      <c r="H102" s="268" t="s">
        <v>385</v>
      </c>
      <c r="I102" s="603" t="s">
        <v>81</v>
      </c>
    </row>
    <row r="103" spans="4:9" x14ac:dyDescent="0.3">
      <c r="D103" s="602" t="str">
        <f t="shared" si="1"/>
        <v>3º GRUPO A</v>
      </c>
      <c r="E103" s="268" t="s">
        <v>440</v>
      </c>
      <c r="F103" s="268" t="s">
        <v>414</v>
      </c>
      <c r="G103" s="268" t="s">
        <v>82</v>
      </c>
      <c r="H103" s="268" t="s">
        <v>386</v>
      </c>
      <c r="I103" s="603" t="s">
        <v>82</v>
      </c>
    </row>
    <row r="104" spans="4:9" x14ac:dyDescent="0.3">
      <c r="D104" s="602" t="str">
        <f t="shared" si="1"/>
        <v>4º GRUPO A</v>
      </c>
      <c r="E104" s="268" t="s">
        <v>440</v>
      </c>
      <c r="F104" s="268" t="s">
        <v>415</v>
      </c>
      <c r="G104" s="268" t="s">
        <v>83</v>
      </c>
      <c r="H104" s="268" t="s">
        <v>387</v>
      </c>
      <c r="I104" s="603" t="s">
        <v>83</v>
      </c>
    </row>
    <row r="105" spans="4:9" x14ac:dyDescent="0.3">
      <c r="D105" s="602" t="str">
        <f t="shared" si="1"/>
        <v>1º GRUPO B</v>
      </c>
      <c r="E105" s="268" t="s">
        <v>440</v>
      </c>
      <c r="F105" s="268" t="s">
        <v>416</v>
      </c>
      <c r="G105" s="268" t="s">
        <v>84</v>
      </c>
      <c r="H105" s="268" t="s">
        <v>388</v>
      </c>
      <c r="I105" s="603" t="s">
        <v>84</v>
      </c>
    </row>
    <row r="106" spans="4:9" x14ac:dyDescent="0.3">
      <c r="D106" s="602" t="str">
        <f t="shared" si="1"/>
        <v>2º GRUPO B</v>
      </c>
      <c r="E106" s="268" t="s">
        <v>440</v>
      </c>
      <c r="F106" s="268" t="s">
        <v>417</v>
      </c>
      <c r="G106" s="268" t="s">
        <v>85</v>
      </c>
      <c r="H106" s="268" t="s">
        <v>389</v>
      </c>
      <c r="I106" s="603" t="s">
        <v>85</v>
      </c>
    </row>
    <row r="107" spans="4:9" x14ac:dyDescent="0.3">
      <c r="D107" s="602" t="str">
        <f t="shared" si="1"/>
        <v>3º GRUPO B</v>
      </c>
      <c r="E107" s="268" t="s">
        <v>440</v>
      </c>
      <c r="F107" s="268" t="s">
        <v>418</v>
      </c>
      <c r="G107" s="268" t="s">
        <v>86</v>
      </c>
      <c r="H107" s="268" t="s">
        <v>390</v>
      </c>
      <c r="I107" s="603" t="s">
        <v>86</v>
      </c>
    </row>
    <row r="108" spans="4:9" x14ac:dyDescent="0.3">
      <c r="D108" s="602" t="str">
        <f t="shared" si="1"/>
        <v>4º GRUPO B</v>
      </c>
      <c r="E108" s="268" t="s">
        <v>440</v>
      </c>
      <c r="F108" s="268" t="s">
        <v>419</v>
      </c>
      <c r="G108" s="268" t="s">
        <v>87</v>
      </c>
      <c r="H108" s="268" t="s">
        <v>391</v>
      </c>
      <c r="I108" s="603" t="s">
        <v>87</v>
      </c>
    </row>
    <row r="109" spans="4:9" x14ac:dyDescent="0.3">
      <c r="D109" s="602" t="str">
        <f t="shared" si="1"/>
        <v>1º GRUPO C</v>
      </c>
      <c r="E109" s="268" t="s">
        <v>440</v>
      </c>
      <c r="F109" s="268" t="s">
        <v>420</v>
      </c>
      <c r="G109" s="268" t="s">
        <v>88</v>
      </c>
      <c r="H109" s="268" t="s">
        <v>392</v>
      </c>
      <c r="I109" s="603" t="s">
        <v>88</v>
      </c>
    </row>
    <row r="110" spans="4:9" x14ac:dyDescent="0.3">
      <c r="D110" s="602" t="str">
        <f t="shared" si="1"/>
        <v>2º GRUPO C</v>
      </c>
      <c r="E110" s="268" t="s">
        <v>440</v>
      </c>
      <c r="F110" s="268" t="s">
        <v>421</v>
      </c>
      <c r="G110" s="268" t="s">
        <v>89</v>
      </c>
      <c r="H110" s="268" t="s">
        <v>393</v>
      </c>
      <c r="I110" s="603" t="s">
        <v>89</v>
      </c>
    </row>
    <row r="111" spans="4:9" x14ac:dyDescent="0.3">
      <c r="D111" s="602" t="str">
        <f t="shared" si="1"/>
        <v>3º GRUPO C</v>
      </c>
      <c r="E111" s="268" t="s">
        <v>440</v>
      </c>
      <c r="F111" s="268" t="s">
        <v>422</v>
      </c>
      <c r="G111" s="268" t="s">
        <v>90</v>
      </c>
      <c r="H111" s="268" t="s">
        <v>394</v>
      </c>
      <c r="I111" s="603" t="s">
        <v>90</v>
      </c>
    </row>
    <row r="112" spans="4:9" x14ac:dyDescent="0.3">
      <c r="D112" s="602" t="str">
        <f t="shared" si="1"/>
        <v>4º GRUPO C</v>
      </c>
      <c r="E112" s="268" t="s">
        <v>440</v>
      </c>
      <c r="F112" s="268" t="s">
        <v>423</v>
      </c>
      <c r="G112" s="268" t="s">
        <v>91</v>
      </c>
      <c r="H112" s="268" t="s">
        <v>395</v>
      </c>
      <c r="I112" s="603" t="s">
        <v>91</v>
      </c>
    </row>
    <row r="113" spans="4:9" x14ac:dyDescent="0.3">
      <c r="D113" s="602" t="str">
        <f t="shared" si="1"/>
        <v>1º GRUPO D</v>
      </c>
      <c r="E113" s="268" t="s">
        <v>440</v>
      </c>
      <c r="F113" s="268" t="s">
        <v>424</v>
      </c>
      <c r="G113" s="268" t="s">
        <v>115</v>
      </c>
      <c r="H113" s="268" t="s">
        <v>396</v>
      </c>
      <c r="I113" s="603" t="s">
        <v>115</v>
      </c>
    </row>
    <row r="114" spans="4:9" x14ac:dyDescent="0.3">
      <c r="D114" s="602" t="str">
        <f t="shared" si="1"/>
        <v>2º GRUPO D</v>
      </c>
      <c r="E114" s="268" t="s">
        <v>440</v>
      </c>
      <c r="F114" s="268" t="s">
        <v>425</v>
      </c>
      <c r="G114" s="268" t="s">
        <v>116</v>
      </c>
      <c r="H114" s="268" t="s">
        <v>397</v>
      </c>
      <c r="I114" s="603" t="s">
        <v>116</v>
      </c>
    </row>
    <row r="115" spans="4:9" x14ac:dyDescent="0.3">
      <c r="D115" s="602" t="str">
        <f t="shared" si="1"/>
        <v>3º GRUPO D</v>
      </c>
      <c r="E115" s="268" t="s">
        <v>440</v>
      </c>
      <c r="F115" s="268" t="s">
        <v>426</v>
      </c>
      <c r="G115" s="268" t="s">
        <v>117</v>
      </c>
      <c r="H115" s="268" t="s">
        <v>398</v>
      </c>
      <c r="I115" s="603" t="s">
        <v>117</v>
      </c>
    </row>
    <row r="116" spans="4:9" x14ac:dyDescent="0.3">
      <c r="D116" s="602" t="str">
        <f t="shared" si="1"/>
        <v>4º GRUPO D</v>
      </c>
      <c r="E116" s="268" t="s">
        <v>440</v>
      </c>
      <c r="F116" s="268" t="s">
        <v>427</v>
      </c>
      <c r="G116" s="268" t="s">
        <v>118</v>
      </c>
      <c r="H116" s="268" t="s">
        <v>399</v>
      </c>
      <c r="I116" s="603" t="s">
        <v>118</v>
      </c>
    </row>
    <row r="117" spans="4:9" x14ac:dyDescent="0.3">
      <c r="D117" s="602" t="str">
        <f t="shared" si="1"/>
        <v>1º GRUPO E</v>
      </c>
      <c r="E117" s="268" t="s">
        <v>440</v>
      </c>
      <c r="F117" s="268" t="s">
        <v>428</v>
      </c>
      <c r="G117" s="268" t="s">
        <v>119</v>
      </c>
      <c r="H117" s="268" t="s">
        <v>400</v>
      </c>
      <c r="I117" s="603" t="s">
        <v>119</v>
      </c>
    </row>
    <row r="118" spans="4:9" x14ac:dyDescent="0.3">
      <c r="D118" s="602" t="str">
        <f t="shared" si="1"/>
        <v>2º GRUPO E</v>
      </c>
      <c r="E118" s="268" t="s">
        <v>440</v>
      </c>
      <c r="F118" s="268" t="s">
        <v>429</v>
      </c>
      <c r="G118" s="268" t="s">
        <v>120</v>
      </c>
      <c r="H118" s="268" t="s">
        <v>401</v>
      </c>
      <c r="I118" s="603" t="s">
        <v>120</v>
      </c>
    </row>
    <row r="119" spans="4:9" x14ac:dyDescent="0.3">
      <c r="D119" s="602" t="str">
        <f t="shared" si="1"/>
        <v>3º GRUPO E</v>
      </c>
      <c r="E119" s="268" t="s">
        <v>440</v>
      </c>
      <c r="F119" s="268" t="s">
        <v>430</v>
      </c>
      <c r="G119" s="268" t="s">
        <v>121</v>
      </c>
      <c r="H119" s="268" t="s">
        <v>402</v>
      </c>
      <c r="I119" s="603" t="s">
        <v>121</v>
      </c>
    </row>
    <row r="120" spans="4:9" x14ac:dyDescent="0.3">
      <c r="D120" s="602" t="str">
        <f t="shared" si="1"/>
        <v>4º GRUPO E</v>
      </c>
      <c r="E120" s="268" t="s">
        <v>440</v>
      </c>
      <c r="F120" s="268" t="s">
        <v>431</v>
      </c>
      <c r="G120" s="268" t="s">
        <v>122</v>
      </c>
      <c r="H120" s="268" t="s">
        <v>403</v>
      </c>
      <c r="I120" s="603" t="s">
        <v>122</v>
      </c>
    </row>
    <row r="121" spans="4:9" x14ac:dyDescent="0.3">
      <c r="D121" s="602" t="str">
        <f t="shared" si="1"/>
        <v>1º GRUPO F</v>
      </c>
      <c r="E121" s="268" t="s">
        <v>440</v>
      </c>
      <c r="F121" s="268" t="s">
        <v>432</v>
      </c>
      <c r="G121" s="268" t="s">
        <v>123</v>
      </c>
      <c r="H121" s="268" t="s">
        <v>404</v>
      </c>
      <c r="I121" s="603" t="s">
        <v>123</v>
      </c>
    </row>
    <row r="122" spans="4:9" x14ac:dyDescent="0.3">
      <c r="D122" s="602" t="str">
        <f t="shared" si="1"/>
        <v>2º GRUPO F</v>
      </c>
      <c r="E122" s="268" t="s">
        <v>440</v>
      </c>
      <c r="F122" s="268" t="s">
        <v>433</v>
      </c>
      <c r="G122" s="268" t="s">
        <v>124</v>
      </c>
      <c r="H122" s="268" t="s">
        <v>405</v>
      </c>
      <c r="I122" s="603" t="s">
        <v>124</v>
      </c>
    </row>
    <row r="123" spans="4:9" x14ac:dyDescent="0.3">
      <c r="D123" s="602" t="str">
        <f t="shared" si="1"/>
        <v>3º GRUPO F</v>
      </c>
      <c r="E123" s="268" t="s">
        <v>440</v>
      </c>
      <c r="F123" s="268" t="s">
        <v>434</v>
      </c>
      <c r="G123" s="268" t="s">
        <v>125</v>
      </c>
      <c r="H123" s="268" t="s">
        <v>406</v>
      </c>
      <c r="I123" s="603" t="s">
        <v>125</v>
      </c>
    </row>
    <row r="124" spans="4:9" x14ac:dyDescent="0.3">
      <c r="D124" s="602" t="str">
        <f t="shared" si="1"/>
        <v>4º GRUPO F</v>
      </c>
      <c r="E124" s="268" t="s">
        <v>440</v>
      </c>
      <c r="F124" s="268" t="s">
        <v>435</v>
      </c>
      <c r="G124" s="268" t="s">
        <v>126</v>
      </c>
      <c r="H124" s="268" t="s">
        <v>407</v>
      </c>
      <c r="I124" s="603" t="s">
        <v>126</v>
      </c>
    </row>
    <row r="125" spans="4:9" x14ac:dyDescent="0.3">
      <c r="D125" s="602" t="str">
        <f t="shared" si="1"/>
        <v>Octavofinalista</v>
      </c>
      <c r="E125" s="268" t="s">
        <v>440</v>
      </c>
      <c r="F125" s="268" t="s">
        <v>436</v>
      </c>
      <c r="G125" s="268" t="s">
        <v>128</v>
      </c>
      <c r="H125" s="268" t="s">
        <v>408</v>
      </c>
      <c r="I125" s="603" t="s">
        <v>530</v>
      </c>
    </row>
    <row r="126" spans="4:9" x14ac:dyDescent="0.3">
      <c r="D126" s="602" t="str">
        <f t="shared" si="1"/>
        <v>Cuartofinalista</v>
      </c>
      <c r="E126" s="268" t="s">
        <v>440</v>
      </c>
      <c r="F126" s="268" t="s">
        <v>437</v>
      </c>
      <c r="G126" s="268" t="s">
        <v>93</v>
      </c>
      <c r="H126" s="268" t="s">
        <v>409</v>
      </c>
      <c r="I126" s="603" t="s">
        <v>531</v>
      </c>
    </row>
    <row r="127" spans="4:9" x14ac:dyDescent="0.3">
      <c r="D127" s="602" t="str">
        <f t="shared" si="1"/>
        <v>Semifinalista</v>
      </c>
      <c r="E127" s="268" t="s">
        <v>440</v>
      </c>
      <c r="F127" s="268" t="s">
        <v>438</v>
      </c>
      <c r="G127" s="268" t="s">
        <v>96</v>
      </c>
      <c r="H127" s="268" t="s">
        <v>410</v>
      </c>
      <c r="I127" s="603" t="s">
        <v>96</v>
      </c>
    </row>
    <row r="128" spans="4:9" x14ac:dyDescent="0.3">
      <c r="D128" s="602" t="str">
        <f t="shared" si="1"/>
        <v>3º y 4º puesto (1)</v>
      </c>
      <c r="E128" s="268" t="s">
        <v>440</v>
      </c>
      <c r="G128" s="268" t="s">
        <v>487</v>
      </c>
      <c r="H128" s="268" t="s">
        <v>488</v>
      </c>
      <c r="I128" s="603" t="s">
        <v>581</v>
      </c>
    </row>
    <row r="129" spans="2:9" x14ac:dyDescent="0.3">
      <c r="D129" s="602" t="str">
        <f t="shared" si="1"/>
        <v>3º y 4º puesto (2)</v>
      </c>
      <c r="E129" s="268" t="s">
        <v>440</v>
      </c>
      <c r="G129" s="268" t="s">
        <v>489</v>
      </c>
      <c r="H129" s="268" t="s">
        <v>490</v>
      </c>
      <c r="I129" s="603" t="s">
        <v>582</v>
      </c>
    </row>
    <row r="130" spans="2:9" ht="15" thickBot="1" x14ac:dyDescent="0.35">
      <c r="D130" s="604" t="str">
        <f t="shared" si="1"/>
        <v>Finalista</v>
      </c>
      <c r="E130" s="605" t="s">
        <v>440</v>
      </c>
      <c r="F130" s="605" t="s">
        <v>439</v>
      </c>
      <c r="G130" s="605" t="s">
        <v>99</v>
      </c>
      <c r="H130" s="605" t="s">
        <v>411</v>
      </c>
      <c r="I130" s="607" t="s">
        <v>99</v>
      </c>
    </row>
    <row r="138" spans="2:9" ht="15" thickBot="1" x14ac:dyDescent="0.35">
      <c r="C138" s="268" t="s">
        <v>518</v>
      </c>
    </row>
    <row r="139" spans="2:9" x14ac:dyDescent="0.3">
      <c r="B139" s="268">
        <v>1</v>
      </c>
      <c r="C139" s="268">
        <v>1</v>
      </c>
      <c r="D139" s="599" t="str">
        <f t="shared" ref="D139:D156" si="2">IF($B$2,G139,IF($B$3,H139,IF($B$4,I139,G139)))</f>
        <v>Argentina</v>
      </c>
      <c r="E139" s="600" t="s">
        <v>246</v>
      </c>
      <c r="F139" s="600" t="s">
        <v>334</v>
      </c>
      <c r="G139" s="600" t="s">
        <v>162</v>
      </c>
      <c r="H139" s="600" t="s">
        <v>162</v>
      </c>
      <c r="I139" s="601" t="s">
        <v>162</v>
      </c>
    </row>
    <row r="140" spans="2:9" x14ac:dyDescent="0.3">
      <c r="B140" s="268">
        <v>2</v>
      </c>
      <c r="C140" s="268">
        <v>12</v>
      </c>
      <c r="D140" s="602" t="str">
        <f t="shared" si="2"/>
        <v>Bolivia</v>
      </c>
      <c r="E140" s="268" t="s">
        <v>246</v>
      </c>
      <c r="F140" s="268" t="s">
        <v>220</v>
      </c>
      <c r="G140" s="268" t="s">
        <v>446</v>
      </c>
      <c r="H140" s="268" t="s">
        <v>446</v>
      </c>
      <c r="I140" s="603" t="s">
        <v>586</v>
      </c>
    </row>
    <row r="141" spans="2:9" x14ac:dyDescent="0.3">
      <c r="B141" s="268">
        <v>3</v>
      </c>
      <c r="C141" s="268">
        <v>13</v>
      </c>
      <c r="D141" s="602" t="str">
        <f t="shared" si="2"/>
        <v>Brasil</v>
      </c>
      <c r="E141" s="268" t="s">
        <v>246</v>
      </c>
      <c r="F141" s="268" t="s">
        <v>335</v>
      </c>
      <c r="G141" s="268" t="s">
        <v>163</v>
      </c>
      <c r="H141" s="268" t="s">
        <v>468</v>
      </c>
      <c r="I141" s="603" t="s">
        <v>163</v>
      </c>
    </row>
    <row r="142" spans="2:9" x14ac:dyDescent="0.3">
      <c r="B142" s="268">
        <v>4</v>
      </c>
      <c r="C142" s="268">
        <v>3</v>
      </c>
      <c r="D142" s="602" t="str">
        <f t="shared" si="2"/>
        <v>Chile</v>
      </c>
      <c r="E142" s="268" t="s">
        <v>246</v>
      </c>
      <c r="F142" s="268" t="s">
        <v>336</v>
      </c>
      <c r="G142" s="268" t="s">
        <v>447</v>
      </c>
      <c r="H142" s="268" t="s">
        <v>447</v>
      </c>
      <c r="I142" s="603" t="s">
        <v>447</v>
      </c>
    </row>
    <row r="143" spans="2:9" x14ac:dyDescent="0.3">
      <c r="B143" s="268">
        <v>5</v>
      </c>
      <c r="C143" s="268">
        <v>14</v>
      </c>
      <c r="D143" s="602" t="str">
        <f t="shared" si="2"/>
        <v>Colombia</v>
      </c>
      <c r="E143" s="268" t="s">
        <v>246</v>
      </c>
      <c r="F143" s="268" t="s">
        <v>337</v>
      </c>
      <c r="G143" s="268" t="s">
        <v>448</v>
      </c>
      <c r="H143" s="268" t="s">
        <v>448</v>
      </c>
      <c r="I143" s="603" t="s">
        <v>583</v>
      </c>
    </row>
    <row r="144" spans="2:9" x14ac:dyDescent="0.3">
      <c r="B144" s="268">
        <v>6</v>
      </c>
      <c r="C144" s="268">
        <v>6</v>
      </c>
      <c r="D144" s="602" t="str">
        <f t="shared" si="2"/>
        <v>Ecuador</v>
      </c>
      <c r="E144" s="268" t="s">
        <v>246</v>
      </c>
      <c r="F144" s="268" t="s">
        <v>338</v>
      </c>
      <c r="G144" s="268" t="s">
        <v>164</v>
      </c>
      <c r="H144" s="268" t="s">
        <v>164</v>
      </c>
      <c r="I144" s="603" t="s">
        <v>584</v>
      </c>
    </row>
    <row r="145" spans="1:9" x14ac:dyDescent="0.3">
      <c r="B145" s="268">
        <v>7</v>
      </c>
      <c r="C145" s="268">
        <v>15</v>
      </c>
      <c r="D145" s="602" t="str">
        <f t="shared" si="2"/>
        <v>Paraguay</v>
      </c>
      <c r="E145" s="268" t="s">
        <v>246</v>
      </c>
      <c r="F145" s="268" t="s">
        <v>339</v>
      </c>
      <c r="G145" s="268" t="s">
        <v>449</v>
      </c>
      <c r="H145" s="268" t="s">
        <v>449</v>
      </c>
      <c r="I145" s="603" t="s">
        <v>585</v>
      </c>
    </row>
    <row r="146" spans="1:9" x14ac:dyDescent="0.3">
      <c r="B146" s="268">
        <v>8</v>
      </c>
      <c r="C146" s="268">
        <v>2</v>
      </c>
      <c r="D146" s="602" t="str">
        <f t="shared" si="2"/>
        <v>Perú</v>
      </c>
      <c r="E146" s="268" t="s">
        <v>246</v>
      </c>
      <c r="F146" s="268" t="s">
        <v>340</v>
      </c>
      <c r="G146" s="268" t="s">
        <v>450</v>
      </c>
      <c r="H146" s="268" t="s">
        <v>587</v>
      </c>
      <c r="I146" s="603" t="s">
        <v>587</v>
      </c>
    </row>
    <row r="147" spans="1:9" x14ac:dyDescent="0.3">
      <c r="B147" s="268">
        <v>9</v>
      </c>
      <c r="C147" s="268">
        <v>10</v>
      </c>
      <c r="D147" s="602" t="str">
        <f t="shared" si="2"/>
        <v>Uruguay</v>
      </c>
      <c r="E147" s="268" t="s">
        <v>246</v>
      </c>
      <c r="F147" s="268" t="s">
        <v>341</v>
      </c>
      <c r="G147" s="268" t="s">
        <v>165</v>
      </c>
      <c r="H147" s="268" t="s">
        <v>165</v>
      </c>
      <c r="I147" s="603" t="s">
        <v>588</v>
      </c>
    </row>
    <row r="148" spans="1:9" x14ac:dyDescent="0.3">
      <c r="B148" s="268">
        <v>10</v>
      </c>
      <c r="C148" s="268">
        <v>7</v>
      </c>
      <c r="D148" s="602" t="str">
        <f t="shared" si="2"/>
        <v>Venezuela</v>
      </c>
      <c r="E148" s="268" t="s">
        <v>246</v>
      </c>
      <c r="F148" s="268" t="s">
        <v>342</v>
      </c>
      <c r="G148" s="268" t="s">
        <v>451</v>
      </c>
      <c r="H148" s="268" t="s">
        <v>451</v>
      </c>
      <c r="I148" s="603" t="s">
        <v>451</v>
      </c>
    </row>
    <row r="149" spans="1:9" x14ac:dyDescent="0.3">
      <c r="B149" s="268">
        <v>11</v>
      </c>
      <c r="C149" s="268">
        <v>9</v>
      </c>
      <c r="D149" s="602" t="str">
        <f t="shared" si="2"/>
        <v>Estados Unidos</v>
      </c>
      <c r="E149" s="268" t="s">
        <v>246</v>
      </c>
      <c r="F149" s="268" t="s">
        <v>343</v>
      </c>
      <c r="G149" s="268" t="s">
        <v>466</v>
      </c>
      <c r="H149" s="268" t="s">
        <v>467</v>
      </c>
      <c r="I149" s="603" t="s">
        <v>466</v>
      </c>
    </row>
    <row r="150" spans="1:9" x14ac:dyDescent="0.3">
      <c r="B150" s="268">
        <v>12</v>
      </c>
      <c r="C150" s="268">
        <v>4</v>
      </c>
      <c r="D150" s="602" t="str">
        <f t="shared" si="2"/>
        <v>Canadá</v>
      </c>
      <c r="E150" s="268" t="s">
        <v>246</v>
      </c>
      <c r="F150" s="268" t="s">
        <v>344</v>
      </c>
      <c r="G150" s="268" t="s">
        <v>167</v>
      </c>
      <c r="H150" s="268" t="s">
        <v>506</v>
      </c>
      <c r="I150" s="268" t="s">
        <v>167</v>
      </c>
    </row>
    <row r="151" spans="1:9" x14ac:dyDescent="0.3">
      <c r="B151" s="268">
        <v>13</v>
      </c>
      <c r="C151" s="268">
        <v>5</v>
      </c>
      <c r="D151" s="602" t="str">
        <f t="shared" si="2"/>
        <v>México</v>
      </c>
      <c r="E151" s="268" t="s">
        <v>246</v>
      </c>
      <c r="F151" s="268" t="s">
        <v>345</v>
      </c>
      <c r="G151" s="268" t="s">
        <v>166</v>
      </c>
      <c r="H151" s="268" t="s">
        <v>507</v>
      </c>
      <c r="I151" s="603" t="s">
        <v>166</v>
      </c>
    </row>
    <row r="152" spans="1:9" x14ac:dyDescent="0.3">
      <c r="B152" s="268">
        <v>14</v>
      </c>
      <c r="C152" s="268">
        <v>16</v>
      </c>
      <c r="D152" s="602" t="str">
        <f t="shared" si="2"/>
        <v>Costa Rica</v>
      </c>
      <c r="E152" s="268" t="s">
        <v>246</v>
      </c>
      <c r="F152" s="268" t="s">
        <v>346</v>
      </c>
      <c r="G152" s="268" t="s">
        <v>168</v>
      </c>
      <c r="H152" s="268" t="s">
        <v>168</v>
      </c>
      <c r="I152" s="603" t="s">
        <v>168</v>
      </c>
    </row>
    <row r="153" spans="1:9" x14ac:dyDescent="0.3">
      <c r="B153" s="268">
        <v>15</v>
      </c>
      <c r="C153" s="268">
        <v>8</v>
      </c>
      <c r="D153" s="602" t="str">
        <f t="shared" si="2"/>
        <v>Jamaica</v>
      </c>
      <c r="E153" s="268" t="s">
        <v>246</v>
      </c>
      <c r="F153" s="268" t="s">
        <v>347</v>
      </c>
      <c r="G153" s="268" t="s">
        <v>508</v>
      </c>
      <c r="H153" s="268" t="s">
        <v>508</v>
      </c>
      <c r="I153" s="603" t="s">
        <v>508</v>
      </c>
    </row>
    <row r="154" spans="1:9" ht="15" thickBot="1" x14ac:dyDescent="0.35">
      <c r="B154" s="268">
        <v>16</v>
      </c>
      <c r="C154" s="268">
        <v>11</v>
      </c>
      <c r="D154" s="604" t="str">
        <f t="shared" si="2"/>
        <v>Panamá</v>
      </c>
      <c r="E154" s="605" t="s">
        <v>246</v>
      </c>
      <c r="F154" s="605" t="s">
        <v>348</v>
      </c>
      <c r="G154" s="605" t="s">
        <v>509</v>
      </c>
      <c r="H154" s="605" t="s">
        <v>592</v>
      </c>
      <c r="I154" s="607" t="s">
        <v>509</v>
      </c>
    </row>
    <row r="155" spans="1:9" ht="15" thickBot="1" x14ac:dyDescent="0.35"/>
    <row r="156" spans="1:9" ht="15" thickBot="1" x14ac:dyDescent="0.35">
      <c r="A156" s="268" t="s">
        <v>381</v>
      </c>
      <c r="D156" s="611" t="str">
        <f t="shared" si="2"/>
        <v>Estados Unidos</v>
      </c>
      <c r="E156" s="612" t="s">
        <v>379</v>
      </c>
      <c r="F156" s="612" t="s">
        <v>380</v>
      </c>
      <c r="G156" s="612" t="s">
        <v>466</v>
      </c>
      <c r="H156" s="612" t="s">
        <v>467</v>
      </c>
      <c r="I156" s="613" t="s">
        <v>466</v>
      </c>
    </row>
    <row r="159" spans="1:9" ht="15" thickBot="1" x14ac:dyDescent="0.35"/>
    <row r="160" spans="1:9" x14ac:dyDescent="0.3">
      <c r="C160" s="268" t="e" vm="8">
        <v>#VALUE!</v>
      </c>
      <c r="D160" s="599" t="str">
        <f t="shared" ref="D160:D163" si="3">IF($B$2,G160,IF($B$3,H160,IF($B$4,I160,G160)))</f>
        <v xml:space="preserve">Te envío el Excel de la Copa América 2024 para descargarlo. </v>
      </c>
      <c r="E160" s="600"/>
      <c r="F160" s="600"/>
      <c r="G160" s="600" t="s">
        <v>618</v>
      </c>
      <c r="H160" s="600" t="s">
        <v>619</v>
      </c>
      <c r="I160" s="601" t="s">
        <v>620</v>
      </c>
    </row>
    <row r="161" spans="3:9" x14ac:dyDescent="0.3">
      <c r="C161" s="268" t="e" vm="9">
        <v>#VALUE!</v>
      </c>
      <c r="D161" s="602" t="str">
        <f t="shared" si="3"/>
        <v>https://matejero.es/download/excel-copa-america-2024/?ref=share</v>
      </c>
      <c r="G161" s="606" t="s">
        <v>633</v>
      </c>
      <c r="H161" s="606" t="s">
        <v>633</v>
      </c>
      <c r="I161" s="606" t="s">
        <v>633</v>
      </c>
    </row>
    <row r="162" spans="3:9" x14ac:dyDescent="0.3">
      <c r="C162" s="268" t="e" vm="10">
        <v>#VALUE!</v>
      </c>
      <c r="D162" s="602" t="str">
        <f t="shared" si="3"/>
        <v>Compartir:</v>
      </c>
      <c r="G162" s="268" t="s">
        <v>612</v>
      </c>
      <c r="H162" s="268" t="s">
        <v>616</v>
      </c>
      <c r="I162" s="603" t="s">
        <v>617</v>
      </c>
    </row>
    <row r="163" spans="3:9" ht="15" thickBot="1" x14ac:dyDescent="0.35">
      <c r="C163" s="268" t="e" vm="11">
        <v>#VALUE!</v>
      </c>
      <c r="D163" s="604" t="str">
        <f t="shared" si="3"/>
        <v>Me acabo de descargar el Excel de la Copa América 2024</v>
      </c>
      <c r="E163" s="605"/>
      <c r="F163" s="605"/>
      <c r="G163" s="605" t="s">
        <v>630</v>
      </c>
      <c r="H163" s="605" t="s">
        <v>631</v>
      </c>
      <c r="I163" s="607" t="s">
        <v>630</v>
      </c>
    </row>
  </sheetData>
  <sheetProtection algorithmName="SHA-512" hashValue="wZAZnsl2Iaqm26eBquECqJej7GkJgTUzORZG4EeF8Fb9nqUbDbXusQR9BwxskS+qeOpHBrpFJyEQ7ky9b+Ju+g==" saltValue="YY7cC9IJchuXz7rcbmBBEQ==" spinCount="100000" sheet="1" objects="1" scenarios="1" selectLockedCells="1" selectUnlockedCells="1"/>
  <phoneticPr fontId="23"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B1:N30"/>
  <sheetViews>
    <sheetView showGridLines="0" showRowColHeaders="0" zoomScale="120" zoomScaleNormal="120" workbookViewId="0">
      <selection activeCell="C17" sqref="C17"/>
    </sheetView>
  </sheetViews>
  <sheetFormatPr defaultColWidth="10.77734375" defaultRowHeight="14.4" x14ac:dyDescent="0.3"/>
  <cols>
    <col min="1" max="1" width="6" style="228" customWidth="1"/>
    <col min="2" max="2" width="50.77734375" style="228" customWidth="1"/>
    <col min="3" max="6" width="10.77734375" style="228"/>
    <col min="7" max="7" width="27.6640625" style="228" customWidth="1"/>
    <col min="8" max="16384" width="10.77734375" style="228"/>
  </cols>
  <sheetData>
    <row r="1" spans="2:14" x14ac:dyDescent="0.3">
      <c r="C1" s="229"/>
      <c r="D1" s="229"/>
      <c r="E1" s="229"/>
      <c r="F1" s="229"/>
      <c r="G1" s="229"/>
    </row>
    <row r="2" spans="2:14" x14ac:dyDescent="0.3">
      <c r="B2" s="230" t="str">
        <f>Idiomas!D64</f>
        <v>Limitación de responsabilidad:</v>
      </c>
      <c r="C2" s="231"/>
      <c r="D2" s="231"/>
      <c r="E2" s="231"/>
      <c r="F2" s="231"/>
      <c r="G2" s="231"/>
    </row>
    <row r="3" spans="2:14" ht="15" customHeight="1" x14ac:dyDescent="0.3">
      <c r="B3" s="681" t="str">
        <f>Idiomas!D61</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el nombre de los equipos). Las formulas, la protección y la estructura no debe ser modificada. El archivo no puede ser revendido a terceros y es de uso exclusivo para el usuario.</v>
      </c>
      <c r="C3" s="681"/>
      <c r="D3" s="681"/>
      <c r="E3" s="681"/>
      <c r="F3" s="681"/>
      <c r="G3" s="681"/>
      <c r="I3" s="681"/>
      <c r="J3" s="681"/>
      <c r="K3" s="681"/>
      <c r="L3" s="681"/>
      <c r="M3" s="681"/>
      <c r="N3" s="681"/>
    </row>
    <row r="4" spans="2:14" x14ac:dyDescent="0.3">
      <c r="B4" s="681"/>
      <c r="C4" s="681"/>
      <c r="D4" s="681"/>
      <c r="E4" s="681"/>
      <c r="F4" s="681"/>
      <c r="G4" s="681"/>
      <c r="I4" s="681"/>
      <c r="J4" s="681"/>
      <c r="K4" s="681"/>
      <c r="L4" s="681"/>
      <c r="M4" s="681"/>
      <c r="N4" s="681"/>
    </row>
    <row r="5" spans="2:14" x14ac:dyDescent="0.3">
      <c r="B5" s="681"/>
      <c r="C5" s="681"/>
      <c r="D5" s="681"/>
      <c r="E5" s="681"/>
      <c r="F5" s="681"/>
      <c r="G5" s="681"/>
      <c r="I5" s="681"/>
      <c r="J5" s="681"/>
      <c r="K5" s="681"/>
      <c r="L5" s="681"/>
      <c r="M5" s="681"/>
      <c r="N5" s="681"/>
    </row>
    <row r="6" spans="2:14" x14ac:dyDescent="0.3">
      <c r="B6" s="681"/>
      <c r="C6" s="681"/>
      <c r="D6" s="681"/>
      <c r="E6" s="681"/>
      <c r="F6" s="681"/>
      <c r="G6" s="681"/>
      <c r="I6" s="681"/>
      <c r="J6" s="681"/>
      <c r="K6" s="681"/>
      <c r="L6" s="681"/>
      <c r="M6" s="681"/>
      <c r="N6" s="681"/>
    </row>
    <row r="7" spans="2:14" x14ac:dyDescent="0.3">
      <c r="B7" s="681"/>
      <c r="C7" s="681"/>
      <c r="D7" s="681"/>
      <c r="E7" s="681"/>
      <c r="F7" s="681"/>
      <c r="G7" s="681"/>
      <c r="I7" s="681"/>
      <c r="J7" s="681"/>
      <c r="K7" s="681"/>
      <c r="L7" s="681"/>
      <c r="M7" s="681"/>
      <c r="N7" s="681"/>
    </row>
    <row r="8" spans="2:14" x14ac:dyDescent="0.3">
      <c r="B8" s="681"/>
      <c r="C8" s="681"/>
      <c r="D8" s="681"/>
      <c r="E8" s="681"/>
      <c r="F8" s="681"/>
      <c r="G8" s="681"/>
      <c r="I8" s="681"/>
      <c r="J8" s="681"/>
      <c r="K8" s="681"/>
      <c r="L8" s="681"/>
      <c r="M8" s="681"/>
      <c r="N8" s="681"/>
    </row>
    <row r="9" spans="2:14" x14ac:dyDescent="0.3">
      <c r="B9" s="681"/>
      <c r="C9" s="681"/>
      <c r="D9" s="681"/>
      <c r="E9" s="681"/>
      <c r="F9" s="681"/>
      <c r="G9" s="681"/>
      <c r="I9" s="681"/>
      <c r="J9" s="681"/>
      <c r="K9" s="681"/>
      <c r="L9" s="681"/>
      <c r="M9" s="681"/>
      <c r="N9" s="681"/>
    </row>
    <row r="10" spans="2:14" x14ac:dyDescent="0.3">
      <c r="B10" s="232"/>
      <c r="C10" s="232"/>
      <c r="D10" s="232"/>
      <c r="E10" s="232"/>
      <c r="F10" s="232"/>
      <c r="G10" s="232"/>
      <c r="I10" s="681"/>
      <c r="J10" s="681"/>
      <c r="K10" s="681"/>
      <c r="L10" s="681"/>
      <c r="M10" s="681"/>
      <c r="N10" s="681"/>
    </row>
    <row r="11" spans="2:14" x14ac:dyDescent="0.3">
      <c r="B11" s="264" t="str">
        <f>Idiomas!D62</f>
        <v>Autor:</v>
      </c>
      <c r="C11" s="5" t="s">
        <v>58</v>
      </c>
      <c r="D11" s="233"/>
      <c r="E11" s="233"/>
      <c r="F11" s="232"/>
      <c r="G11" s="232"/>
    </row>
    <row r="12" spans="2:14" x14ac:dyDescent="0.3">
      <c r="B12" s="265" t="str">
        <f>Idiomas!D63</f>
        <v>Útima versión</v>
      </c>
      <c r="C12" s="541">
        <v>45374</v>
      </c>
      <c r="D12" s="231"/>
      <c r="E12" s="231"/>
      <c r="F12" s="229"/>
      <c r="G12" s="308"/>
    </row>
    <row r="13" spans="2:14" x14ac:dyDescent="0.3">
      <c r="B13" s="6"/>
    </row>
    <row r="14" spans="2:14" x14ac:dyDescent="0.3">
      <c r="B14" s="307" t="s">
        <v>444</v>
      </c>
      <c r="C14" s="309" t="s">
        <v>445</v>
      </c>
    </row>
    <row r="17" spans="2:7" ht="21" customHeight="1" x14ac:dyDescent="0.3">
      <c r="C17" s="310" t="str">
        <f>Idiomas!D162</f>
        <v>Compartir:</v>
      </c>
      <c r="D17" s="8" t="e" vm="1">
        <f>HYPERLINK(Home!S6,Idiomas!C160)</f>
        <v>#VALUE!</v>
      </c>
      <c r="E17" s="8" t="e" vm="2">
        <f>HYPERLINK(Home!S7,Idiomas!C161)</f>
        <v>#VALUE!</v>
      </c>
      <c r="F17" s="8" t="e" vm="3">
        <f>HYPERLINK(Home!S8,Idiomas!C162)</f>
        <v>#VALUE!</v>
      </c>
      <c r="G17" s="311" t="e" vm="4">
        <f>HYPERLINK(Home!S9,Idiomas!C163)</f>
        <v>#VALUE!</v>
      </c>
    </row>
    <row r="18" spans="2:7" ht="18" x14ac:dyDescent="0.3">
      <c r="C18" s="310"/>
      <c r="D18" s="312"/>
      <c r="E18" s="312"/>
      <c r="F18" s="313"/>
    </row>
    <row r="19" spans="2:7" x14ac:dyDescent="0.3">
      <c r="B19" s="314" t="s">
        <v>611</v>
      </c>
      <c r="C19" s="228" t="e" vm="12">
        <v>#VALUE!</v>
      </c>
    </row>
    <row r="20" spans="2:7" x14ac:dyDescent="0.3">
      <c r="B20" s="315" t="str">
        <f>Idiomas!D58</f>
        <v>OTROS ARCHIVOS (2024-2025)</v>
      </c>
      <c r="C20" s="315" t="s">
        <v>250</v>
      </c>
      <c r="D20" s="315" t="s">
        <v>350</v>
      </c>
      <c r="E20" s="308"/>
    </row>
    <row r="21" spans="2:7" x14ac:dyDescent="0.3">
      <c r="B21" s="316" t="s">
        <v>610</v>
      </c>
      <c r="C21" s="317">
        <v>2</v>
      </c>
      <c r="D21" s="317">
        <v>2</v>
      </c>
      <c r="E21" s="308"/>
    </row>
    <row r="22" spans="2:7" x14ac:dyDescent="0.3">
      <c r="B22" s="316" t="s">
        <v>595</v>
      </c>
      <c r="C22" s="317">
        <v>2</v>
      </c>
      <c r="D22" s="318">
        <v>0</v>
      </c>
      <c r="E22" s="308"/>
    </row>
    <row r="23" spans="2:7" x14ac:dyDescent="0.3">
      <c r="B23" s="316" t="s">
        <v>596</v>
      </c>
      <c r="C23" s="317">
        <v>2</v>
      </c>
      <c r="D23" s="318">
        <v>0</v>
      </c>
      <c r="E23" s="308"/>
    </row>
    <row r="24" spans="2:7" x14ac:dyDescent="0.3">
      <c r="B24" s="316" t="s">
        <v>597</v>
      </c>
      <c r="C24" s="318">
        <v>0</v>
      </c>
      <c r="D24" s="317">
        <v>2</v>
      </c>
      <c r="E24" s="308"/>
    </row>
    <row r="25" spans="2:7" x14ac:dyDescent="0.3">
      <c r="B25" s="316" t="s">
        <v>598</v>
      </c>
      <c r="C25" s="318">
        <v>1</v>
      </c>
      <c r="D25" s="318">
        <v>1</v>
      </c>
      <c r="E25" s="308" t="str">
        <f>Idiomas!D59</f>
        <v>Estamos trabajando en ello pero todavía no conocemos las normas de la competición</v>
      </c>
    </row>
    <row r="26" spans="2:7" x14ac:dyDescent="0.3">
      <c r="B26" s="316" t="s">
        <v>599</v>
      </c>
      <c r="C26" s="317">
        <v>2</v>
      </c>
      <c r="D26" s="318">
        <v>0</v>
      </c>
      <c r="E26" s="308"/>
    </row>
    <row r="27" spans="2:7" x14ac:dyDescent="0.3">
      <c r="B27" s="316" t="s">
        <v>600</v>
      </c>
      <c r="C27" s="317">
        <v>2</v>
      </c>
      <c r="D27" s="318">
        <v>0</v>
      </c>
      <c r="E27" s="308"/>
    </row>
    <row r="28" spans="2:7" x14ac:dyDescent="0.3">
      <c r="B28" s="316" t="s">
        <v>601</v>
      </c>
      <c r="C28" s="318">
        <v>0</v>
      </c>
      <c r="D28" s="317">
        <v>2</v>
      </c>
      <c r="E28" s="308"/>
    </row>
    <row r="29" spans="2:7" x14ac:dyDescent="0.3">
      <c r="B29" s="316" t="s">
        <v>602</v>
      </c>
      <c r="C29" s="318">
        <v>0</v>
      </c>
      <c r="D29" s="317">
        <v>2</v>
      </c>
      <c r="E29" s="308"/>
    </row>
    <row r="30" spans="2:7" x14ac:dyDescent="0.3">
      <c r="B30" s="316" t="s">
        <v>603</v>
      </c>
      <c r="C30" s="318">
        <v>1</v>
      </c>
      <c r="D30" s="318">
        <v>1</v>
      </c>
      <c r="E30" s="308" t="str">
        <f>Idiomas!D60</f>
        <v>Probablemente hagamos un archivo más adelante</v>
      </c>
    </row>
  </sheetData>
  <sheetProtection algorithmName="SHA-512" hashValue="LGrXZudDBFK1TvYt2vgg8LjVVsS0jhUUtjqqIptdLAQqb0Mft/XZmY9ACLc+a4z0/spoJxjAqRAKT4KShn8c0w==" saltValue="iUubMy7ZvGQ/IreT4b+8jQ==" spinCount="100000" sheet="1" objects="1" scenarios="1"/>
  <mergeCells count="2">
    <mergeCell ref="I3:N10"/>
    <mergeCell ref="B3:G9"/>
  </mergeCells>
  <conditionalFormatting sqref="C21:D30">
    <cfRule type="iconSet" priority="1">
      <iconSet iconSet="3Symbols2" showValue="0">
        <cfvo type="percent" val="0"/>
        <cfvo type="num" val="1"/>
        <cfvo type="num" val="2"/>
      </iconSet>
    </cfRule>
  </conditionalFormatting>
  <hyperlinks>
    <hyperlink ref="C11" r:id="rId1" xr:uid="{05AB4A6F-C4B4-A740-87ED-336F6C10C792}"/>
    <hyperlink ref="C21" r:id="rId2" display="https://matejero.es/excel-porra-eurocopa/" xr:uid="{A21D7308-97A2-E94D-A572-880DD5B01E97}"/>
    <hyperlink ref="C22" r:id="rId3" display="https://matejero.es/calendario-excel-liga/" xr:uid="{9A5F72F3-7FC0-F042-9108-FC6D28D4BC1D}"/>
    <hyperlink ref="C23" r:id="rId4" location="Descarga_el_Calendario_2a_Division_Liga_23_24_Excel" display="https://matejero.es/calendario-excel-liga/ - Descarga_el_Calendario_2a_Division_Liga_23_24_Excel" xr:uid="{1635B298-4A28-EB4C-88AE-3CEBC5E3440E}"/>
    <hyperlink ref="D24" r:id="rId5" display="https://matejero.com/premier-league-excel-schedule/" xr:uid="{D7CDADC3-4076-274E-8BA0-941C5805D17C}"/>
    <hyperlink ref="C26" r:id="rId6" display="https://matejero.es/cuadro-excel-futbol-juegos-olimpicos/" xr:uid="{BCBDA0B7-FA90-C341-972A-5D8DF879A069}"/>
    <hyperlink ref="C27" r:id="rId7" display="https://matejero.es/excel-copa-libertadores/" xr:uid="{B9249300-C250-184A-9AA7-04DBFF3A80FA}"/>
    <hyperlink ref="D28" r:id="rId8" display="https://matejero.com/asian-cup-excel-schedule/" xr:uid="{B604B909-8C00-8C43-BD9F-42A6A7AC01A6}"/>
    <hyperlink ref="D29" r:id="rId9" display="https://matejero.com/africa-cup-excel-schedule/" xr:uid="{CF78155D-FAFD-B24F-9527-2BDBF19E067E}"/>
    <hyperlink ref="D21" r:id="rId10" display="https://matejero.com/euro-excel-spreadsheet-pool/" xr:uid="{C95A93F7-B806-7B4C-8213-7D2635F9C4F7}"/>
  </hyperlink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5</vt:i4>
      </vt:variant>
    </vt:vector>
  </HeadingPairs>
  <TitlesOfParts>
    <vt:vector size="10" baseType="lpstr">
      <vt:lpstr>Home</vt:lpstr>
      <vt:lpstr>COPA AMERICA</vt:lpstr>
      <vt:lpstr>Quiniela</vt:lpstr>
      <vt:lpstr>Fixture</vt:lpstr>
      <vt:lpstr>Credits</vt:lpstr>
      <vt:lpstr>·······</vt:lpstr>
      <vt:lpstr>Nivell</vt:lpstr>
      <vt:lpstr>NombreEquipo</vt:lpstr>
      <vt:lpstr>OK</vt:lpstr>
      <vt:lpstr>Rank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Enrique Vásquez</cp:lastModifiedBy>
  <cp:lastPrinted>2018-12-06T18:06:35Z</cp:lastPrinted>
  <dcterms:created xsi:type="dcterms:W3CDTF">2015-10-31T09:41:54Z</dcterms:created>
  <dcterms:modified xsi:type="dcterms:W3CDTF">2024-06-20T12:52:14Z</dcterms:modified>
</cp:coreProperties>
</file>